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6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dthorovska/Desktop/OBEC KVETNICE/ZOK/25.9.2024/"/>
    </mc:Choice>
  </mc:AlternateContent>
  <xr:revisionPtr revIDLastSave="0" documentId="8_{9BD69639-2039-D14C-8632-91E3B6D0B077}" xr6:coauthVersionLast="47" xr6:coauthVersionMax="47" xr10:uidLastSave="{00000000-0000-0000-0000-000000000000}"/>
  <bookViews>
    <workbookView xWindow="0" yWindow="740" windowWidth="29040" windowHeight="15720" tabRatio="718" firstSheet="3" activeTab="10" xr2:uid="{00000000-000D-0000-FFFF-FFFF00000000}"/>
  </bookViews>
  <sheets>
    <sheet name="Výkaz ZZ" sheetId="5" state="hidden" r:id="rId1"/>
    <sheet name="Rozvaha" sheetId="3" state="hidden" r:id="rId2"/>
    <sheet name="Investice" sheetId="16" state="hidden" r:id="rId3"/>
    <sheet name="Povodně" sheetId="20" state="hidden" r:id="rId4"/>
    <sheet name="popisky návrh 2024" sheetId="29" r:id="rId5"/>
    <sheet name="Návrh 2024 položkový" sheetId="30" r:id="rId6"/>
    <sheet name="Návrh 2024 ke zveřejnění" sheetId="31" r:id="rId7"/>
    <sheet name="Rozpočet 2024" sheetId="32" r:id="rId8"/>
    <sheet name="RO č.1" sheetId="33" r:id="rId9"/>
    <sheet name="ROč.2" sheetId="34" r:id="rId10"/>
    <sheet name="RO č.3" sheetId="35" r:id="rId11"/>
    <sheet name="Mzdy 2014" sheetId="9" state="hidden" r:id="rId12"/>
    <sheet name="Stočné" sheetId="24" state="hidden" r:id="rId13"/>
    <sheet name="A.S.A" sheetId="25" state="hidden" r:id="rId14"/>
    <sheet name="Dluh+úvěr KB" sheetId="18" state="hidden" r:id="rId15"/>
    <sheet name="Komunikace" sheetId="22" state="hidden" r:id="rId16"/>
    <sheet name="VO KV II" sheetId="21" state="hidden" r:id="rId17"/>
    <sheet name="ASA" sheetId="14" state="hidden" r:id="rId18"/>
    <sheet name="Hráz" sheetId="17" state="hidden" r:id="rId19"/>
    <sheet name="Šťovíková" sheetId="19" state="hidden" r:id="rId20"/>
    <sheet name="ZOK" sheetId="13" state="hidden" r:id="rId2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0" i="35" l="1"/>
  <c r="U51" i="35"/>
  <c r="V51" i="35" s="1"/>
  <c r="V50" i="35"/>
  <c r="V187" i="35"/>
  <c r="V185" i="35"/>
  <c r="V183" i="35"/>
  <c r="V182" i="35"/>
  <c r="V176" i="35"/>
  <c r="V175" i="35"/>
  <c r="V174" i="35"/>
  <c r="V173" i="35"/>
  <c r="V172" i="35"/>
  <c r="V170" i="35"/>
  <c r="V164" i="35"/>
  <c r="V163" i="35"/>
  <c r="V162" i="35"/>
  <c r="V161" i="35"/>
  <c r="V160" i="35"/>
  <c r="V159" i="35"/>
  <c r="V158" i="35"/>
  <c r="V155" i="35"/>
  <c r="V113" i="35"/>
  <c r="V112" i="35"/>
  <c r="V111" i="35"/>
  <c r="V110" i="35"/>
  <c r="V109" i="35"/>
  <c r="V90" i="35"/>
  <c r="V88" i="35"/>
  <c r="V87" i="35"/>
  <c r="V78" i="35"/>
  <c r="V75" i="35"/>
  <c r="V74" i="35"/>
  <c r="V72" i="35"/>
  <c r="V44" i="35"/>
  <c r="V42" i="35"/>
  <c r="V36" i="35"/>
  <c r="V32" i="35"/>
  <c r="V31" i="35"/>
  <c r="V29" i="35"/>
  <c r="V27" i="35"/>
  <c r="V24" i="35"/>
  <c r="V23" i="35"/>
  <c r="T27" i="35"/>
  <c r="U195" i="35"/>
  <c r="P45" i="35"/>
  <c r="T194" i="35"/>
  <c r="T157" i="35"/>
  <c r="V157" i="35" s="1"/>
  <c r="T156" i="35"/>
  <c r="V156" i="35" s="1"/>
  <c r="T155" i="35"/>
  <c r="T94" i="35"/>
  <c r="V94" i="35" s="1"/>
  <c r="T93" i="35"/>
  <c r="T88" i="35"/>
  <c r="T77" i="35"/>
  <c r="T76" i="35"/>
  <c r="T73" i="35"/>
  <c r="T72" i="35"/>
  <c r="T40" i="35"/>
  <c r="V40" i="35" s="1"/>
  <c r="T34" i="35"/>
  <c r="V34" i="35" s="1"/>
  <c r="T33" i="35"/>
  <c r="V33" i="35" s="1"/>
  <c r="T21" i="35"/>
  <c r="T20" i="35"/>
  <c r="V20" i="35" s="1"/>
  <c r="T17" i="35"/>
  <c r="V17" i="35" s="1"/>
  <c r="T16" i="35"/>
  <c r="V16" i="35" s="1"/>
  <c r="S193" i="35"/>
  <c r="S195" i="35" s="1"/>
  <c r="Q193" i="35"/>
  <c r="Q195" i="35" s="1"/>
  <c r="P193" i="35"/>
  <c r="P195" i="35" s="1"/>
  <c r="M193" i="35"/>
  <c r="K193" i="35"/>
  <c r="J193" i="35"/>
  <c r="F193" i="35"/>
  <c r="E193" i="35"/>
  <c r="R192" i="35"/>
  <c r="T192" i="35" s="1"/>
  <c r="V192" i="35" s="1"/>
  <c r="G192" i="35"/>
  <c r="H192" i="35" s="1"/>
  <c r="I192" i="35" s="1"/>
  <c r="R191" i="35"/>
  <c r="T191" i="35" s="1"/>
  <c r="V191" i="35" s="1"/>
  <c r="G191" i="35"/>
  <c r="H191" i="35" s="1"/>
  <c r="I191" i="35" s="1"/>
  <c r="R190" i="35"/>
  <c r="T190" i="35" s="1"/>
  <c r="V190" i="35" s="1"/>
  <c r="G190" i="35"/>
  <c r="H190" i="35" s="1"/>
  <c r="I190" i="35" s="1"/>
  <c r="R189" i="35"/>
  <c r="T189" i="35" s="1"/>
  <c r="V189" i="35" s="1"/>
  <c r="I189" i="35"/>
  <c r="G189" i="35"/>
  <c r="H189" i="35" s="1"/>
  <c r="R187" i="35"/>
  <c r="T187" i="35" s="1"/>
  <c r="I187" i="35"/>
  <c r="G187" i="35"/>
  <c r="H187" i="35" s="1"/>
  <c r="R186" i="35"/>
  <c r="T186" i="35" s="1"/>
  <c r="V186" i="35" s="1"/>
  <c r="R185" i="35"/>
  <c r="T185" i="35" s="1"/>
  <c r="G185" i="35"/>
  <c r="H185" i="35" s="1"/>
  <c r="I185" i="35" s="1"/>
  <c r="R184" i="35"/>
  <c r="T184" i="35" s="1"/>
  <c r="V184" i="35" s="1"/>
  <c r="G184" i="35"/>
  <c r="H184" i="35" s="1"/>
  <c r="I184" i="35" s="1"/>
  <c r="R183" i="35"/>
  <c r="T183" i="35" s="1"/>
  <c r="G183" i="35"/>
  <c r="H183" i="35" s="1"/>
  <c r="I183" i="35" s="1"/>
  <c r="R182" i="35"/>
  <c r="T182" i="35" s="1"/>
  <c r="G182" i="35"/>
  <c r="H182" i="35" s="1"/>
  <c r="I182" i="35" s="1"/>
  <c r="R181" i="35"/>
  <c r="T181" i="35" s="1"/>
  <c r="V181" i="35" s="1"/>
  <c r="G181" i="35"/>
  <c r="H181" i="35" s="1"/>
  <c r="I181" i="35" s="1"/>
  <c r="R180" i="35"/>
  <c r="T180" i="35" s="1"/>
  <c r="V180" i="35" s="1"/>
  <c r="G180" i="35"/>
  <c r="H180" i="35" s="1"/>
  <c r="I180" i="35" s="1"/>
  <c r="R179" i="35"/>
  <c r="T179" i="35" s="1"/>
  <c r="V179" i="35" s="1"/>
  <c r="R178" i="35"/>
  <c r="T178" i="35" s="1"/>
  <c r="V178" i="35" s="1"/>
  <c r="G178" i="35"/>
  <c r="H178" i="35" s="1"/>
  <c r="I178" i="35" s="1"/>
  <c r="R177" i="35"/>
  <c r="T177" i="35" s="1"/>
  <c r="V177" i="35" s="1"/>
  <c r="G177" i="35"/>
  <c r="H177" i="35" s="1"/>
  <c r="I177" i="35" s="1"/>
  <c r="R176" i="35"/>
  <c r="T176" i="35" s="1"/>
  <c r="G176" i="35"/>
  <c r="H176" i="35" s="1"/>
  <c r="I176" i="35" s="1"/>
  <c r="R175" i="35"/>
  <c r="T175" i="35" s="1"/>
  <c r="G175" i="35"/>
  <c r="H175" i="35" s="1"/>
  <c r="I175" i="35" s="1"/>
  <c r="R174" i="35"/>
  <c r="T174" i="35" s="1"/>
  <c r="G174" i="35"/>
  <c r="H174" i="35" s="1"/>
  <c r="I174" i="35" s="1"/>
  <c r="R173" i="35"/>
  <c r="T173" i="35" s="1"/>
  <c r="G173" i="35"/>
  <c r="H173" i="35" s="1"/>
  <c r="I173" i="35" s="1"/>
  <c r="R172" i="35"/>
  <c r="T172" i="35" s="1"/>
  <c r="G172" i="35"/>
  <c r="H172" i="35" s="1"/>
  <c r="I172" i="35" s="1"/>
  <c r="R171" i="35"/>
  <c r="T171" i="35" s="1"/>
  <c r="V171" i="35" s="1"/>
  <c r="G171" i="35"/>
  <c r="H171" i="35" s="1"/>
  <c r="I171" i="35" s="1"/>
  <c r="R170" i="35"/>
  <c r="T170" i="35" s="1"/>
  <c r="G170" i="35"/>
  <c r="H170" i="35" s="1"/>
  <c r="I170" i="35" s="1"/>
  <c r="R169" i="35"/>
  <c r="T169" i="35" s="1"/>
  <c r="V169" i="35" s="1"/>
  <c r="G169" i="35"/>
  <c r="H169" i="35" s="1"/>
  <c r="I169" i="35" s="1"/>
  <c r="R168" i="35"/>
  <c r="T168" i="35" s="1"/>
  <c r="V168" i="35" s="1"/>
  <c r="G168" i="35"/>
  <c r="H168" i="35" s="1"/>
  <c r="I168" i="35" s="1"/>
  <c r="R167" i="35"/>
  <c r="T167" i="35" s="1"/>
  <c r="V167" i="35" s="1"/>
  <c r="G167" i="35"/>
  <c r="H167" i="35" s="1"/>
  <c r="I167" i="35" s="1"/>
  <c r="R166" i="35"/>
  <c r="T166" i="35" s="1"/>
  <c r="V166" i="35" s="1"/>
  <c r="G166" i="35"/>
  <c r="H166" i="35" s="1"/>
  <c r="I166" i="35" s="1"/>
  <c r="R165" i="35"/>
  <c r="T165" i="35" s="1"/>
  <c r="V165" i="35" s="1"/>
  <c r="G165" i="35"/>
  <c r="H165" i="35" s="1"/>
  <c r="I165" i="35" s="1"/>
  <c r="R164" i="35"/>
  <c r="T164" i="35" s="1"/>
  <c r="R163" i="35"/>
  <c r="T163" i="35" s="1"/>
  <c r="R162" i="35"/>
  <c r="T162" i="35" s="1"/>
  <c r="G162" i="35"/>
  <c r="H162" i="35" s="1"/>
  <c r="I162" i="35" s="1"/>
  <c r="R161" i="35"/>
  <c r="T161" i="35" s="1"/>
  <c r="G161" i="35"/>
  <c r="G164" i="35" s="1"/>
  <c r="H164" i="35" s="1"/>
  <c r="I164" i="35" s="1"/>
  <c r="O157" i="35"/>
  <c r="O155" i="35"/>
  <c r="H155" i="35"/>
  <c r="I155" i="35" s="1"/>
  <c r="R154" i="35"/>
  <c r="T154" i="35" s="1"/>
  <c r="V154" i="35" s="1"/>
  <c r="G154" i="35"/>
  <c r="H154" i="35" s="1"/>
  <c r="I154" i="35" s="1"/>
  <c r="G153" i="35"/>
  <c r="H153" i="35" s="1"/>
  <c r="I153" i="35" s="1"/>
  <c r="R151" i="35"/>
  <c r="T151" i="35" s="1"/>
  <c r="V151" i="35" s="1"/>
  <c r="G151" i="35"/>
  <c r="H151" i="35" s="1"/>
  <c r="I151" i="35" s="1"/>
  <c r="D151" i="35"/>
  <c r="R150" i="35"/>
  <c r="T150" i="35" s="1"/>
  <c r="V150" i="35" s="1"/>
  <c r="I150" i="35"/>
  <c r="G150" i="35"/>
  <c r="H150" i="35" s="1"/>
  <c r="R149" i="35"/>
  <c r="T149" i="35" s="1"/>
  <c r="V149" i="35" s="1"/>
  <c r="R148" i="35"/>
  <c r="T148" i="35" s="1"/>
  <c r="V148" i="35" s="1"/>
  <c r="G148" i="35"/>
  <c r="H148" i="35" s="1"/>
  <c r="I148" i="35" s="1"/>
  <c r="R147" i="35"/>
  <c r="T147" i="35" s="1"/>
  <c r="V147" i="35" s="1"/>
  <c r="G147" i="35"/>
  <c r="H147" i="35" s="1"/>
  <c r="I147" i="35" s="1"/>
  <c r="R146" i="35"/>
  <c r="T146" i="35" s="1"/>
  <c r="V146" i="35" s="1"/>
  <c r="G146" i="35"/>
  <c r="H146" i="35" s="1"/>
  <c r="I146" i="35" s="1"/>
  <c r="R145" i="35"/>
  <c r="T145" i="35" s="1"/>
  <c r="V145" i="35" s="1"/>
  <c r="G145" i="35"/>
  <c r="H145" i="35" s="1"/>
  <c r="I145" i="35" s="1"/>
  <c r="R144" i="35"/>
  <c r="T144" i="35" s="1"/>
  <c r="V144" i="35" s="1"/>
  <c r="G144" i="35"/>
  <c r="H144" i="35" s="1"/>
  <c r="I144" i="35" s="1"/>
  <c r="R143" i="35"/>
  <c r="T143" i="35" s="1"/>
  <c r="V143" i="35" s="1"/>
  <c r="G143" i="35"/>
  <c r="H143" i="35" s="1"/>
  <c r="I143" i="35" s="1"/>
  <c r="R142" i="35"/>
  <c r="T142" i="35" s="1"/>
  <c r="V142" i="35" s="1"/>
  <c r="G142" i="35"/>
  <c r="H142" i="35" s="1"/>
  <c r="I142" i="35" s="1"/>
  <c r="R141" i="35"/>
  <c r="T141" i="35" s="1"/>
  <c r="V141" i="35" s="1"/>
  <c r="R140" i="35"/>
  <c r="T140" i="35" s="1"/>
  <c r="V140" i="35" s="1"/>
  <c r="I140" i="35"/>
  <c r="G140" i="35"/>
  <c r="H140" i="35" s="1"/>
  <c r="R139" i="35"/>
  <c r="T139" i="35" s="1"/>
  <c r="V139" i="35" s="1"/>
  <c r="I139" i="35"/>
  <c r="G139" i="35"/>
  <c r="H139" i="35" s="1"/>
  <c r="R138" i="35"/>
  <c r="T138" i="35" s="1"/>
  <c r="V138" i="35" s="1"/>
  <c r="L138" i="35"/>
  <c r="I138" i="35"/>
  <c r="G138" i="35"/>
  <c r="H138" i="35" s="1"/>
  <c r="R137" i="35"/>
  <c r="T137" i="35" s="1"/>
  <c r="V137" i="35" s="1"/>
  <c r="G137" i="35"/>
  <c r="H137" i="35" s="1"/>
  <c r="I137" i="35" s="1"/>
  <c r="R136" i="35"/>
  <c r="T136" i="35" s="1"/>
  <c r="V136" i="35" s="1"/>
  <c r="G136" i="35"/>
  <c r="H136" i="35" s="1"/>
  <c r="I136" i="35" s="1"/>
  <c r="R135" i="35"/>
  <c r="T135" i="35" s="1"/>
  <c r="V135" i="35" s="1"/>
  <c r="H135" i="35"/>
  <c r="I135" i="35" s="1"/>
  <c r="R134" i="35"/>
  <c r="T134" i="35" s="1"/>
  <c r="V134" i="35" s="1"/>
  <c r="H134" i="35"/>
  <c r="I134" i="35" s="1"/>
  <c r="R133" i="35"/>
  <c r="T133" i="35" s="1"/>
  <c r="V133" i="35" s="1"/>
  <c r="G133" i="35"/>
  <c r="H133" i="35" s="1"/>
  <c r="I133" i="35" s="1"/>
  <c r="R132" i="35"/>
  <c r="T132" i="35" s="1"/>
  <c r="V132" i="35" s="1"/>
  <c r="G132" i="35"/>
  <c r="H132" i="35" s="1"/>
  <c r="I132" i="35" s="1"/>
  <c r="R131" i="35"/>
  <c r="T131" i="35" s="1"/>
  <c r="V131" i="35" s="1"/>
  <c r="G131" i="35"/>
  <c r="H131" i="35" s="1"/>
  <c r="I131" i="35" s="1"/>
  <c r="R130" i="35"/>
  <c r="T130" i="35" s="1"/>
  <c r="V130" i="35" s="1"/>
  <c r="G130" i="35"/>
  <c r="H130" i="35" s="1"/>
  <c r="I130" i="35" s="1"/>
  <c r="R129" i="35"/>
  <c r="T129" i="35" s="1"/>
  <c r="V129" i="35" s="1"/>
  <c r="R128" i="35"/>
  <c r="T128" i="35" s="1"/>
  <c r="V128" i="35" s="1"/>
  <c r="R127" i="35"/>
  <c r="T127" i="35" s="1"/>
  <c r="V127" i="35" s="1"/>
  <c r="R126" i="35"/>
  <c r="T126" i="35" s="1"/>
  <c r="V126" i="35" s="1"/>
  <c r="L126" i="35"/>
  <c r="L193" i="35" s="1"/>
  <c r="G126" i="35"/>
  <c r="H126" i="35" s="1"/>
  <c r="R125" i="35"/>
  <c r="T125" i="35" s="1"/>
  <c r="V125" i="35" s="1"/>
  <c r="R124" i="35"/>
  <c r="T124" i="35" s="1"/>
  <c r="V124" i="35" s="1"/>
  <c r="G124" i="35"/>
  <c r="H124" i="35" s="1"/>
  <c r="I124" i="35" s="1"/>
  <c r="R123" i="35"/>
  <c r="T123" i="35" s="1"/>
  <c r="V123" i="35" s="1"/>
  <c r="G123" i="35"/>
  <c r="H123" i="35" s="1"/>
  <c r="I123" i="35" s="1"/>
  <c r="R122" i="35"/>
  <c r="T122" i="35" s="1"/>
  <c r="V122" i="35" s="1"/>
  <c r="I122" i="35"/>
  <c r="H122" i="35"/>
  <c r="R121" i="35"/>
  <c r="T121" i="35" s="1"/>
  <c r="V121" i="35" s="1"/>
  <c r="G121" i="35"/>
  <c r="H121" i="35" s="1"/>
  <c r="I121" i="35" s="1"/>
  <c r="R120" i="35"/>
  <c r="T120" i="35" s="1"/>
  <c r="V120" i="35" s="1"/>
  <c r="H120" i="35"/>
  <c r="I120" i="35" s="1"/>
  <c r="R119" i="35"/>
  <c r="T119" i="35" s="1"/>
  <c r="V119" i="35" s="1"/>
  <c r="G118" i="35"/>
  <c r="H118" i="35" s="1"/>
  <c r="I118" i="35" s="1"/>
  <c r="R117" i="35"/>
  <c r="T117" i="35" s="1"/>
  <c r="V117" i="35" s="1"/>
  <c r="I117" i="35"/>
  <c r="G117" i="35"/>
  <c r="H117" i="35" s="1"/>
  <c r="R116" i="35"/>
  <c r="T116" i="35" s="1"/>
  <c r="V116" i="35" s="1"/>
  <c r="R115" i="35"/>
  <c r="T115" i="35" s="1"/>
  <c r="V115" i="35" s="1"/>
  <c r="H115" i="35"/>
  <c r="I115" i="35" s="1"/>
  <c r="H114" i="35"/>
  <c r="I114" i="35" s="1"/>
  <c r="R113" i="35"/>
  <c r="T113" i="35" s="1"/>
  <c r="G113" i="35"/>
  <c r="H113" i="35" s="1"/>
  <c r="I113" i="35" s="1"/>
  <c r="R112" i="35"/>
  <c r="T112" i="35" s="1"/>
  <c r="G112" i="35"/>
  <c r="H112" i="35" s="1"/>
  <c r="I112" i="35" s="1"/>
  <c r="R111" i="35"/>
  <c r="T111" i="35" s="1"/>
  <c r="H111" i="35"/>
  <c r="I111" i="35" s="1"/>
  <c r="R110" i="35"/>
  <c r="T110" i="35" s="1"/>
  <c r="G110" i="35"/>
  <c r="H110" i="35" s="1"/>
  <c r="I110" i="35" s="1"/>
  <c r="R109" i="35"/>
  <c r="T109" i="35" s="1"/>
  <c r="R108" i="35"/>
  <c r="T108" i="35" s="1"/>
  <c r="V108" i="35" s="1"/>
  <c r="I108" i="35"/>
  <c r="G108" i="35"/>
  <c r="H108" i="35" s="1"/>
  <c r="R106" i="35"/>
  <c r="T106" i="35" s="1"/>
  <c r="V106" i="35" s="1"/>
  <c r="R105" i="35"/>
  <c r="T105" i="35" s="1"/>
  <c r="V105" i="35" s="1"/>
  <c r="I105" i="35"/>
  <c r="H105" i="35"/>
  <c r="D105" i="35"/>
  <c r="R104" i="35"/>
  <c r="T104" i="35" s="1"/>
  <c r="V104" i="35" s="1"/>
  <c r="I104" i="35"/>
  <c r="G104" i="35"/>
  <c r="H104" i="35" s="1"/>
  <c r="R103" i="35"/>
  <c r="T103" i="35" s="1"/>
  <c r="V103" i="35" s="1"/>
  <c r="G101" i="35"/>
  <c r="H101" i="35" s="1"/>
  <c r="G100" i="35"/>
  <c r="H100" i="35" s="1"/>
  <c r="G99" i="35"/>
  <c r="H99" i="35" s="1"/>
  <c r="G98" i="35"/>
  <c r="H98" i="35" s="1"/>
  <c r="G97" i="35"/>
  <c r="H97" i="35" s="1"/>
  <c r="R96" i="35"/>
  <c r="T96" i="35" s="1"/>
  <c r="V96" i="35" s="1"/>
  <c r="I96" i="35"/>
  <c r="G96" i="35"/>
  <c r="H96" i="35" s="1"/>
  <c r="R95" i="35"/>
  <c r="T95" i="35" s="1"/>
  <c r="V95" i="35" s="1"/>
  <c r="G95" i="35"/>
  <c r="H95" i="35" s="1"/>
  <c r="I95" i="35" s="1"/>
  <c r="R92" i="35"/>
  <c r="T92" i="35" s="1"/>
  <c r="V92" i="35" s="1"/>
  <c r="G92" i="35"/>
  <c r="H92" i="35" s="1"/>
  <c r="I92" i="35" s="1"/>
  <c r="R91" i="35"/>
  <c r="T91" i="35" s="1"/>
  <c r="V91" i="35" s="1"/>
  <c r="G91" i="35"/>
  <c r="H91" i="35" s="1"/>
  <c r="I91" i="35" s="1"/>
  <c r="R90" i="35"/>
  <c r="T90" i="35" s="1"/>
  <c r="G90" i="35"/>
  <c r="H90" i="35" s="1"/>
  <c r="I90" i="35" s="1"/>
  <c r="R89" i="35"/>
  <c r="T89" i="35" s="1"/>
  <c r="G89" i="35"/>
  <c r="H89" i="35" s="1"/>
  <c r="I89" i="35" s="1"/>
  <c r="R88" i="35"/>
  <c r="G88" i="35"/>
  <c r="H88" i="35" s="1"/>
  <c r="I88" i="35" s="1"/>
  <c r="R87" i="35"/>
  <c r="T87" i="35" s="1"/>
  <c r="G87" i="35"/>
  <c r="H87" i="35" s="1"/>
  <c r="I87" i="35" s="1"/>
  <c r="R86" i="35"/>
  <c r="T86" i="35" s="1"/>
  <c r="V86" i="35" s="1"/>
  <c r="G86" i="35"/>
  <c r="H86" i="35" s="1"/>
  <c r="I86" i="35" s="1"/>
  <c r="R85" i="35"/>
  <c r="T85" i="35" s="1"/>
  <c r="V85" i="35" s="1"/>
  <c r="G85" i="35"/>
  <c r="H85" i="35" s="1"/>
  <c r="I85" i="35" s="1"/>
  <c r="R84" i="35"/>
  <c r="T84" i="35" s="1"/>
  <c r="V84" i="35" s="1"/>
  <c r="H84" i="35"/>
  <c r="I84" i="35" s="1"/>
  <c r="R83" i="35"/>
  <c r="T83" i="35" s="1"/>
  <c r="V83" i="35" s="1"/>
  <c r="G83" i="35"/>
  <c r="H83" i="35" s="1"/>
  <c r="I83" i="35" s="1"/>
  <c r="R82" i="35"/>
  <c r="T82" i="35" s="1"/>
  <c r="V82" i="35" s="1"/>
  <c r="G82" i="35"/>
  <c r="H82" i="35" s="1"/>
  <c r="I82" i="35" s="1"/>
  <c r="R81" i="35"/>
  <c r="T81" i="35" s="1"/>
  <c r="V81" i="35" s="1"/>
  <c r="G81" i="35"/>
  <c r="H81" i="35" s="1"/>
  <c r="I81" i="35" s="1"/>
  <c r="R80" i="35"/>
  <c r="T80" i="35" s="1"/>
  <c r="V80" i="35" s="1"/>
  <c r="H80" i="35"/>
  <c r="I80" i="35" s="1"/>
  <c r="R79" i="35"/>
  <c r="T79" i="35" s="1"/>
  <c r="V79" i="35" s="1"/>
  <c r="N79" i="35"/>
  <c r="N193" i="35" s="1"/>
  <c r="I79" i="35"/>
  <c r="G79" i="35"/>
  <c r="H79" i="35" s="1"/>
  <c r="R78" i="35"/>
  <c r="T78" i="35" s="1"/>
  <c r="G78" i="35"/>
  <c r="H78" i="35" s="1"/>
  <c r="I78" i="35" s="1"/>
  <c r="R75" i="35"/>
  <c r="T75" i="35" s="1"/>
  <c r="G75" i="35"/>
  <c r="H75" i="35" s="1"/>
  <c r="I75" i="35" s="1"/>
  <c r="R74" i="35"/>
  <c r="T74" i="35" s="1"/>
  <c r="H73" i="35"/>
  <c r="R71" i="35"/>
  <c r="T71" i="35" s="1"/>
  <c r="V71" i="35" s="1"/>
  <c r="G71" i="35"/>
  <c r="G193" i="35" s="1"/>
  <c r="R70" i="35"/>
  <c r="T70" i="35" s="1"/>
  <c r="V70" i="35" s="1"/>
  <c r="P50" i="35"/>
  <c r="R50" i="35" s="1"/>
  <c r="T50" i="35" s="1"/>
  <c r="F50" i="35"/>
  <c r="D50" i="35"/>
  <c r="S47" i="35"/>
  <c r="S51" i="35" s="1"/>
  <c r="Q47" i="35"/>
  <c r="Q51" i="35" s="1"/>
  <c r="P46" i="35"/>
  <c r="O46" i="35"/>
  <c r="N46" i="35"/>
  <c r="I46" i="35"/>
  <c r="G46" i="35"/>
  <c r="F46" i="35"/>
  <c r="H46" i="35" s="1"/>
  <c r="E46" i="35"/>
  <c r="D46" i="35"/>
  <c r="O45" i="35"/>
  <c r="N45" i="35"/>
  <c r="M45" i="35"/>
  <c r="L45" i="35"/>
  <c r="K45" i="35"/>
  <c r="F45" i="35"/>
  <c r="E45" i="35"/>
  <c r="D45" i="35"/>
  <c r="R44" i="35"/>
  <c r="T44" i="35" s="1"/>
  <c r="G44" i="35"/>
  <c r="H44" i="35" s="1"/>
  <c r="I44" i="35" s="1"/>
  <c r="R41" i="35"/>
  <c r="T41" i="35" s="1"/>
  <c r="V41" i="35" s="1"/>
  <c r="H41" i="35"/>
  <c r="I41" i="35" s="1"/>
  <c r="G40" i="35"/>
  <c r="H40" i="35" s="1"/>
  <c r="I40" i="35" s="1"/>
  <c r="R39" i="35"/>
  <c r="T39" i="35" s="1"/>
  <c r="V39" i="35" s="1"/>
  <c r="G39" i="35"/>
  <c r="H39" i="35" s="1"/>
  <c r="I39" i="35" s="1"/>
  <c r="R38" i="35"/>
  <c r="T38" i="35" s="1"/>
  <c r="V38" i="35" s="1"/>
  <c r="H38" i="35"/>
  <c r="I38" i="35" s="1"/>
  <c r="R37" i="35"/>
  <c r="T37" i="35" s="1"/>
  <c r="V37" i="35" s="1"/>
  <c r="H37" i="35"/>
  <c r="R36" i="35"/>
  <c r="T36" i="35" s="1"/>
  <c r="G36" i="35"/>
  <c r="H36" i="35" s="1"/>
  <c r="I36" i="35" s="1"/>
  <c r="R35" i="35"/>
  <c r="T35" i="35" s="1"/>
  <c r="V35" i="35" s="1"/>
  <c r="V46" i="35" s="1"/>
  <c r="G34" i="35"/>
  <c r="H34" i="35" s="1"/>
  <c r="I34" i="35" s="1"/>
  <c r="R32" i="35"/>
  <c r="T32" i="35" s="1"/>
  <c r="H32" i="35"/>
  <c r="I32" i="35" s="1"/>
  <c r="R31" i="35"/>
  <c r="T31" i="35" s="1"/>
  <c r="G31" i="35"/>
  <c r="H31" i="35" s="1"/>
  <c r="I31" i="35" s="1"/>
  <c r="R30" i="35"/>
  <c r="T30" i="35" s="1"/>
  <c r="V30" i="35" s="1"/>
  <c r="R29" i="35"/>
  <c r="T29" i="35" s="1"/>
  <c r="G29" i="35"/>
  <c r="H29" i="35" s="1"/>
  <c r="I29" i="35" s="1"/>
  <c r="R28" i="35"/>
  <c r="T28" i="35" s="1"/>
  <c r="G28" i="35"/>
  <c r="P26" i="35"/>
  <c r="O26" i="35"/>
  <c r="N26" i="35"/>
  <c r="M26" i="35"/>
  <c r="L26" i="35"/>
  <c r="K26" i="35"/>
  <c r="F26" i="35"/>
  <c r="E26" i="35"/>
  <c r="D26" i="35"/>
  <c r="R24" i="35"/>
  <c r="T24" i="35" s="1"/>
  <c r="R22" i="35"/>
  <c r="G22" i="35"/>
  <c r="H22" i="35" s="1"/>
  <c r="I22" i="35" s="1"/>
  <c r="I26" i="35" s="1"/>
  <c r="G20" i="35"/>
  <c r="H20" i="35" s="1"/>
  <c r="P19" i="35"/>
  <c r="O19" i="35"/>
  <c r="N19" i="35"/>
  <c r="M19" i="35"/>
  <c r="L19" i="35"/>
  <c r="K19" i="35"/>
  <c r="F19" i="35"/>
  <c r="E19" i="35"/>
  <c r="D19" i="35"/>
  <c r="R18" i="35"/>
  <c r="T18" i="35" s="1"/>
  <c r="V18" i="35" s="1"/>
  <c r="G18" i="35"/>
  <c r="H18" i="35" s="1"/>
  <c r="I18" i="35" s="1"/>
  <c r="R15" i="35"/>
  <c r="T15" i="35" s="1"/>
  <c r="V15" i="35" s="1"/>
  <c r="G15" i="35"/>
  <c r="H15" i="35" s="1"/>
  <c r="I15" i="35" s="1"/>
  <c r="R14" i="35"/>
  <c r="T14" i="35" s="1"/>
  <c r="V14" i="35" s="1"/>
  <c r="G14" i="35"/>
  <c r="H14" i="35" s="1"/>
  <c r="I14" i="35" s="1"/>
  <c r="R13" i="35"/>
  <c r="T13" i="35" s="1"/>
  <c r="V13" i="35" s="1"/>
  <c r="R12" i="35"/>
  <c r="T12" i="35" s="1"/>
  <c r="V12" i="35" s="1"/>
  <c r="G12" i="35"/>
  <c r="H12" i="35" s="1"/>
  <c r="I12" i="35" s="1"/>
  <c r="R11" i="35"/>
  <c r="T11" i="35" s="1"/>
  <c r="V11" i="35" s="1"/>
  <c r="G11" i="35"/>
  <c r="H11" i="35" s="1"/>
  <c r="I11" i="35" s="1"/>
  <c r="R10" i="35"/>
  <c r="T10" i="35" s="1"/>
  <c r="V10" i="35" s="1"/>
  <c r="G10" i="35"/>
  <c r="H10" i="35" s="1"/>
  <c r="I10" i="35" s="1"/>
  <c r="R9" i="35"/>
  <c r="T9" i="35" s="1"/>
  <c r="V9" i="35" s="1"/>
  <c r="G9" i="35"/>
  <c r="H9" i="35" s="1"/>
  <c r="I9" i="35" s="1"/>
  <c r="R8" i="35"/>
  <c r="T8" i="35" s="1"/>
  <c r="V8" i="35" s="1"/>
  <c r="G8" i="35"/>
  <c r="H8" i="35" s="1"/>
  <c r="I8" i="35" s="1"/>
  <c r="R7" i="35"/>
  <c r="T7" i="35" s="1"/>
  <c r="V7" i="35" s="1"/>
  <c r="R6" i="35"/>
  <c r="T6" i="35" s="1"/>
  <c r="V6" i="35" s="1"/>
  <c r="G6" i="35"/>
  <c r="H6" i="35" s="1"/>
  <c r="I6" i="35" s="1"/>
  <c r="R5" i="35"/>
  <c r="T5" i="35" s="1"/>
  <c r="V5" i="35" s="1"/>
  <c r="G5" i="35"/>
  <c r="H5" i="35" s="1"/>
  <c r="I5" i="35" s="1"/>
  <c r="R4" i="35"/>
  <c r="T4" i="35" s="1"/>
  <c r="V4" i="35" s="1"/>
  <c r="H4" i="35"/>
  <c r="I4" i="35" s="1"/>
  <c r="R3" i="35"/>
  <c r="T3" i="35" s="1"/>
  <c r="V3" i="35" s="1"/>
  <c r="G3" i="35"/>
  <c r="Q191" i="33"/>
  <c r="P45" i="34"/>
  <c r="P44" i="34"/>
  <c r="P189" i="34"/>
  <c r="P191" i="34" s="1"/>
  <c r="Q189" i="34"/>
  <c r="Q191" i="34" s="1"/>
  <c r="S189" i="34"/>
  <c r="S191" i="34" s="1"/>
  <c r="S46" i="34"/>
  <c r="S50" i="34" s="1"/>
  <c r="R188" i="34"/>
  <c r="R187" i="34"/>
  <c r="R186" i="34"/>
  <c r="R185" i="34"/>
  <c r="R183" i="34"/>
  <c r="R182" i="34"/>
  <c r="R181" i="34"/>
  <c r="R180" i="34"/>
  <c r="R179" i="34"/>
  <c r="R178" i="34"/>
  <c r="R177" i="34"/>
  <c r="R176" i="34"/>
  <c r="R175" i="34"/>
  <c r="R174" i="34"/>
  <c r="R173" i="34"/>
  <c r="R172" i="34"/>
  <c r="R171" i="34"/>
  <c r="R170" i="34"/>
  <c r="R169" i="34"/>
  <c r="R168" i="34"/>
  <c r="R167" i="34"/>
  <c r="R166" i="34"/>
  <c r="R165" i="34"/>
  <c r="R164" i="34"/>
  <c r="R163" i="34"/>
  <c r="R162" i="34"/>
  <c r="R161" i="34"/>
  <c r="R160" i="34"/>
  <c r="R159" i="34"/>
  <c r="R158" i="34"/>
  <c r="R157" i="34"/>
  <c r="R153" i="34"/>
  <c r="R150" i="34"/>
  <c r="R149" i="34"/>
  <c r="R148" i="34"/>
  <c r="R147" i="34"/>
  <c r="R146" i="34"/>
  <c r="R145" i="34"/>
  <c r="R144" i="34"/>
  <c r="R143" i="34"/>
  <c r="R142" i="34"/>
  <c r="R141" i="34"/>
  <c r="R140" i="34"/>
  <c r="R139" i="34"/>
  <c r="R138" i="34"/>
  <c r="R137" i="34"/>
  <c r="R136" i="34"/>
  <c r="R135" i="34"/>
  <c r="R134" i="34"/>
  <c r="R133" i="34"/>
  <c r="R132" i="34"/>
  <c r="R131" i="34"/>
  <c r="R130" i="34"/>
  <c r="R129" i="34"/>
  <c r="R128" i="34"/>
  <c r="R127" i="34"/>
  <c r="R126" i="34"/>
  <c r="R125" i="34"/>
  <c r="R124" i="34"/>
  <c r="R123" i="34"/>
  <c r="R122" i="34"/>
  <c r="R121" i="34"/>
  <c r="R120" i="34"/>
  <c r="R119" i="34"/>
  <c r="R118" i="34"/>
  <c r="R116" i="34"/>
  <c r="R115" i="34"/>
  <c r="R114" i="34"/>
  <c r="R112" i="34"/>
  <c r="R111" i="34"/>
  <c r="R110" i="34"/>
  <c r="R109" i="34"/>
  <c r="R108" i="34"/>
  <c r="R107" i="34"/>
  <c r="R105" i="34"/>
  <c r="R104" i="34"/>
  <c r="R103" i="34"/>
  <c r="R102" i="34"/>
  <c r="R95" i="34"/>
  <c r="R94" i="34"/>
  <c r="R91" i="34"/>
  <c r="R90" i="34"/>
  <c r="R89" i="34"/>
  <c r="R88" i="34"/>
  <c r="R87" i="34"/>
  <c r="R86" i="34"/>
  <c r="R85" i="34"/>
  <c r="R84" i="34"/>
  <c r="R83" i="34"/>
  <c r="R82" i="34"/>
  <c r="R81" i="34"/>
  <c r="R80" i="34"/>
  <c r="R79" i="34"/>
  <c r="R78" i="34"/>
  <c r="R77" i="34"/>
  <c r="R74" i="34"/>
  <c r="R73" i="34"/>
  <c r="R70" i="34"/>
  <c r="R69" i="34"/>
  <c r="R43" i="34"/>
  <c r="R40" i="34"/>
  <c r="R38" i="34"/>
  <c r="R37" i="34"/>
  <c r="R36" i="34"/>
  <c r="R35" i="34"/>
  <c r="R34" i="34"/>
  <c r="R31" i="34"/>
  <c r="R30" i="34"/>
  <c r="R29" i="34"/>
  <c r="R28" i="34"/>
  <c r="R27" i="34"/>
  <c r="R23" i="34"/>
  <c r="R22" i="34"/>
  <c r="R25" i="34" s="1"/>
  <c r="R18" i="34"/>
  <c r="R15" i="34"/>
  <c r="R14" i="34"/>
  <c r="R13" i="34"/>
  <c r="R12" i="34"/>
  <c r="R11" i="34"/>
  <c r="R10" i="34"/>
  <c r="R9" i="34"/>
  <c r="R8" i="34"/>
  <c r="R7" i="34"/>
  <c r="R6" i="34"/>
  <c r="R5" i="34"/>
  <c r="R4" i="34"/>
  <c r="R3" i="34"/>
  <c r="M189" i="34"/>
  <c r="K189" i="34"/>
  <c r="J189" i="34"/>
  <c r="F189" i="34"/>
  <c r="E189" i="34"/>
  <c r="G188" i="34"/>
  <c r="H188" i="34" s="1"/>
  <c r="I188" i="34" s="1"/>
  <c r="G187" i="34"/>
  <c r="H187" i="34" s="1"/>
  <c r="I187" i="34" s="1"/>
  <c r="G186" i="34"/>
  <c r="H186" i="34" s="1"/>
  <c r="I186" i="34" s="1"/>
  <c r="I185" i="34"/>
  <c r="G185" i="34"/>
  <c r="H185" i="34" s="1"/>
  <c r="I183" i="34"/>
  <c r="G183" i="34"/>
  <c r="H183" i="34" s="1"/>
  <c r="G181" i="34"/>
  <c r="H181" i="34" s="1"/>
  <c r="I181" i="34" s="1"/>
  <c r="G180" i="34"/>
  <c r="H180" i="34" s="1"/>
  <c r="I180" i="34" s="1"/>
  <c r="G179" i="34"/>
  <c r="H179" i="34" s="1"/>
  <c r="I179" i="34" s="1"/>
  <c r="G178" i="34"/>
  <c r="H178" i="34" s="1"/>
  <c r="I178" i="34" s="1"/>
  <c r="G177" i="34"/>
  <c r="H177" i="34" s="1"/>
  <c r="I177" i="34" s="1"/>
  <c r="G176" i="34"/>
  <c r="H176" i="34" s="1"/>
  <c r="I176" i="34" s="1"/>
  <c r="G174" i="34"/>
  <c r="H174" i="34" s="1"/>
  <c r="I174" i="34" s="1"/>
  <c r="G173" i="34"/>
  <c r="H173" i="34" s="1"/>
  <c r="I173" i="34" s="1"/>
  <c r="G172" i="34"/>
  <c r="H172" i="34" s="1"/>
  <c r="I172" i="34" s="1"/>
  <c r="G171" i="34"/>
  <c r="H171" i="34" s="1"/>
  <c r="I171" i="34" s="1"/>
  <c r="G170" i="34"/>
  <c r="H170" i="34" s="1"/>
  <c r="I170" i="34" s="1"/>
  <c r="G169" i="34"/>
  <c r="H169" i="34" s="1"/>
  <c r="I169" i="34" s="1"/>
  <c r="G168" i="34"/>
  <c r="H168" i="34" s="1"/>
  <c r="I168" i="34" s="1"/>
  <c r="G167" i="34"/>
  <c r="H167" i="34" s="1"/>
  <c r="I167" i="34" s="1"/>
  <c r="G166" i="34"/>
  <c r="H166" i="34" s="1"/>
  <c r="I166" i="34" s="1"/>
  <c r="G165" i="34"/>
  <c r="H165" i="34" s="1"/>
  <c r="I165" i="34" s="1"/>
  <c r="G164" i="34"/>
  <c r="H164" i="34" s="1"/>
  <c r="I164" i="34" s="1"/>
  <c r="G163" i="34"/>
  <c r="H163" i="34" s="1"/>
  <c r="I163" i="34" s="1"/>
  <c r="G162" i="34"/>
  <c r="H162" i="34" s="1"/>
  <c r="I162" i="34" s="1"/>
  <c r="G161" i="34"/>
  <c r="H161" i="34" s="1"/>
  <c r="I161" i="34" s="1"/>
  <c r="G158" i="34"/>
  <c r="H158" i="34" s="1"/>
  <c r="I158" i="34" s="1"/>
  <c r="G157" i="34"/>
  <c r="G159" i="34" s="1"/>
  <c r="H159" i="34" s="1"/>
  <c r="I159" i="34" s="1"/>
  <c r="O156" i="34"/>
  <c r="O154" i="34"/>
  <c r="H154" i="34"/>
  <c r="I154" i="34" s="1"/>
  <c r="G153" i="34"/>
  <c r="H153" i="34" s="1"/>
  <c r="I153" i="34" s="1"/>
  <c r="G152" i="34"/>
  <c r="H152" i="34" s="1"/>
  <c r="I152" i="34" s="1"/>
  <c r="G150" i="34"/>
  <c r="H150" i="34" s="1"/>
  <c r="I150" i="34" s="1"/>
  <c r="D150" i="34"/>
  <c r="I149" i="34"/>
  <c r="G149" i="34"/>
  <c r="H149" i="34" s="1"/>
  <c r="G147" i="34"/>
  <c r="H147" i="34" s="1"/>
  <c r="I147" i="34" s="1"/>
  <c r="G146" i="34"/>
  <c r="H146" i="34" s="1"/>
  <c r="I146" i="34" s="1"/>
  <c r="G145" i="34"/>
  <c r="H145" i="34" s="1"/>
  <c r="I145" i="34" s="1"/>
  <c r="G144" i="34"/>
  <c r="H144" i="34" s="1"/>
  <c r="I144" i="34" s="1"/>
  <c r="G143" i="34"/>
  <c r="H143" i="34" s="1"/>
  <c r="I143" i="34" s="1"/>
  <c r="G142" i="34"/>
  <c r="H142" i="34" s="1"/>
  <c r="I142" i="34" s="1"/>
  <c r="G141" i="34"/>
  <c r="H141" i="34" s="1"/>
  <c r="I141" i="34" s="1"/>
  <c r="I139" i="34"/>
  <c r="G139" i="34"/>
  <c r="H139" i="34" s="1"/>
  <c r="I138" i="34"/>
  <c r="G138" i="34"/>
  <c r="H138" i="34" s="1"/>
  <c r="L137" i="34"/>
  <c r="I137" i="34"/>
  <c r="G137" i="34"/>
  <c r="H137" i="34" s="1"/>
  <c r="G136" i="34"/>
  <c r="H136" i="34" s="1"/>
  <c r="I136" i="34" s="1"/>
  <c r="G135" i="34"/>
  <c r="H135" i="34" s="1"/>
  <c r="I135" i="34" s="1"/>
  <c r="H134" i="34"/>
  <c r="I134" i="34" s="1"/>
  <c r="H133" i="34"/>
  <c r="I133" i="34" s="1"/>
  <c r="G132" i="34"/>
  <c r="H132" i="34" s="1"/>
  <c r="I132" i="34" s="1"/>
  <c r="G131" i="34"/>
  <c r="H131" i="34" s="1"/>
  <c r="I131" i="34" s="1"/>
  <c r="G130" i="34"/>
  <c r="H130" i="34" s="1"/>
  <c r="I130" i="34" s="1"/>
  <c r="G129" i="34"/>
  <c r="H129" i="34" s="1"/>
  <c r="I129" i="34" s="1"/>
  <c r="L125" i="34"/>
  <c r="L189" i="34" s="1"/>
  <c r="G125" i="34"/>
  <c r="H125" i="34" s="1"/>
  <c r="G123" i="34"/>
  <c r="H123" i="34" s="1"/>
  <c r="I123" i="34" s="1"/>
  <c r="G122" i="34"/>
  <c r="H122" i="34" s="1"/>
  <c r="I122" i="34" s="1"/>
  <c r="I121" i="34"/>
  <c r="H121" i="34"/>
  <c r="G120" i="34"/>
  <c r="H120" i="34" s="1"/>
  <c r="I120" i="34" s="1"/>
  <c r="H119" i="34"/>
  <c r="I119" i="34" s="1"/>
  <c r="G117" i="34"/>
  <c r="H117" i="34" s="1"/>
  <c r="I117" i="34" s="1"/>
  <c r="I116" i="34"/>
  <c r="G116" i="34"/>
  <c r="H116" i="34" s="1"/>
  <c r="H114" i="34"/>
  <c r="I114" i="34" s="1"/>
  <c r="H113" i="34"/>
  <c r="I113" i="34" s="1"/>
  <c r="G112" i="34"/>
  <c r="H112" i="34" s="1"/>
  <c r="I112" i="34" s="1"/>
  <c r="G111" i="34"/>
  <c r="H111" i="34" s="1"/>
  <c r="I111" i="34" s="1"/>
  <c r="H110" i="34"/>
  <c r="I110" i="34" s="1"/>
  <c r="G109" i="34"/>
  <c r="H109" i="34" s="1"/>
  <c r="I109" i="34" s="1"/>
  <c r="I107" i="34"/>
  <c r="G107" i="34"/>
  <c r="H107" i="34" s="1"/>
  <c r="I104" i="34"/>
  <c r="H104" i="34"/>
  <c r="D104" i="34"/>
  <c r="I103" i="34"/>
  <c r="G103" i="34"/>
  <c r="H103" i="34" s="1"/>
  <c r="G100" i="34"/>
  <c r="H100" i="34" s="1"/>
  <c r="G99" i="34"/>
  <c r="H99" i="34" s="1"/>
  <c r="G98" i="34"/>
  <c r="H98" i="34" s="1"/>
  <c r="G97" i="34"/>
  <c r="H97" i="34" s="1"/>
  <c r="G96" i="34"/>
  <c r="H96" i="34" s="1"/>
  <c r="I95" i="34"/>
  <c r="G95" i="34"/>
  <c r="H95" i="34" s="1"/>
  <c r="G94" i="34"/>
  <c r="H94" i="34" s="1"/>
  <c r="I94" i="34" s="1"/>
  <c r="G91" i="34"/>
  <c r="H91" i="34" s="1"/>
  <c r="I91" i="34" s="1"/>
  <c r="G90" i="34"/>
  <c r="H90" i="34" s="1"/>
  <c r="I90" i="34" s="1"/>
  <c r="G89" i="34"/>
  <c r="H89" i="34" s="1"/>
  <c r="I89" i="34" s="1"/>
  <c r="G88" i="34"/>
  <c r="H88" i="34" s="1"/>
  <c r="I88" i="34" s="1"/>
  <c r="G87" i="34"/>
  <c r="H87" i="34" s="1"/>
  <c r="I87" i="34" s="1"/>
  <c r="G86" i="34"/>
  <c r="H86" i="34" s="1"/>
  <c r="I86" i="34" s="1"/>
  <c r="G85" i="34"/>
  <c r="H85" i="34" s="1"/>
  <c r="I85" i="34" s="1"/>
  <c r="G84" i="34"/>
  <c r="H84" i="34" s="1"/>
  <c r="I84" i="34" s="1"/>
  <c r="H83" i="34"/>
  <c r="I83" i="34" s="1"/>
  <c r="G82" i="34"/>
  <c r="H82" i="34" s="1"/>
  <c r="I82" i="34" s="1"/>
  <c r="G81" i="34"/>
  <c r="H81" i="34" s="1"/>
  <c r="I81" i="34" s="1"/>
  <c r="G80" i="34"/>
  <c r="H80" i="34" s="1"/>
  <c r="I80" i="34" s="1"/>
  <c r="H79" i="34"/>
  <c r="I79" i="34" s="1"/>
  <c r="N78" i="34"/>
  <c r="N189" i="34" s="1"/>
  <c r="I78" i="34"/>
  <c r="G78" i="34"/>
  <c r="H78" i="34" s="1"/>
  <c r="G77" i="34"/>
  <c r="H77" i="34" s="1"/>
  <c r="I77" i="34" s="1"/>
  <c r="G74" i="34"/>
  <c r="H74" i="34" s="1"/>
  <c r="I74" i="34" s="1"/>
  <c r="H72" i="34"/>
  <c r="G70" i="34"/>
  <c r="G189" i="34" s="1"/>
  <c r="P49" i="34"/>
  <c r="R49" i="34" s="1"/>
  <c r="F49" i="34"/>
  <c r="D49" i="34"/>
  <c r="Q46" i="34"/>
  <c r="Q50" i="34" s="1"/>
  <c r="O45" i="34"/>
  <c r="N45" i="34"/>
  <c r="I45" i="34"/>
  <c r="G45" i="34"/>
  <c r="H45" i="34" s="1"/>
  <c r="F45" i="34"/>
  <c r="E45" i="34"/>
  <c r="D45" i="34"/>
  <c r="O44" i="34"/>
  <c r="N44" i="34"/>
  <c r="M44" i="34"/>
  <c r="L44" i="34"/>
  <c r="K44" i="34"/>
  <c r="F44" i="34"/>
  <c r="E44" i="34"/>
  <c r="D44" i="34"/>
  <c r="G43" i="34"/>
  <c r="H43" i="34" s="1"/>
  <c r="I43" i="34" s="1"/>
  <c r="H40" i="34"/>
  <c r="I40" i="34" s="1"/>
  <c r="G39" i="34"/>
  <c r="H39" i="34" s="1"/>
  <c r="I39" i="34" s="1"/>
  <c r="G38" i="34"/>
  <c r="H38" i="34" s="1"/>
  <c r="I38" i="34" s="1"/>
  <c r="H37" i="34"/>
  <c r="I37" i="34" s="1"/>
  <c r="H36" i="34"/>
  <c r="G35" i="34"/>
  <c r="H35" i="34" s="1"/>
  <c r="I35" i="34" s="1"/>
  <c r="G33" i="34"/>
  <c r="H33" i="34" s="1"/>
  <c r="I33" i="34" s="1"/>
  <c r="H31" i="34"/>
  <c r="I31" i="34" s="1"/>
  <c r="G30" i="34"/>
  <c r="H30" i="34" s="1"/>
  <c r="I30" i="34" s="1"/>
  <c r="G28" i="34"/>
  <c r="H28" i="34" s="1"/>
  <c r="I28" i="34" s="1"/>
  <c r="G27" i="34"/>
  <c r="P25" i="34"/>
  <c r="O25" i="34"/>
  <c r="N25" i="34"/>
  <c r="M25" i="34"/>
  <c r="L25" i="34"/>
  <c r="K25" i="34"/>
  <c r="F25" i="34"/>
  <c r="E25" i="34"/>
  <c r="D25" i="34"/>
  <c r="G22" i="34"/>
  <c r="H22" i="34" s="1"/>
  <c r="I22" i="34" s="1"/>
  <c r="I25" i="34" s="1"/>
  <c r="G20" i="34"/>
  <c r="P19" i="34"/>
  <c r="O19" i="34"/>
  <c r="N19" i="34"/>
  <c r="M19" i="34"/>
  <c r="L19" i="34"/>
  <c r="K19" i="34"/>
  <c r="F19" i="34"/>
  <c r="E19" i="34"/>
  <c r="D19" i="34"/>
  <c r="G18" i="34"/>
  <c r="H18" i="34" s="1"/>
  <c r="I18" i="34" s="1"/>
  <c r="G15" i="34"/>
  <c r="H15" i="34" s="1"/>
  <c r="I15" i="34" s="1"/>
  <c r="G14" i="34"/>
  <c r="H14" i="34" s="1"/>
  <c r="I14" i="34" s="1"/>
  <c r="G12" i="34"/>
  <c r="H12" i="34" s="1"/>
  <c r="I12" i="34" s="1"/>
  <c r="G11" i="34"/>
  <c r="H11" i="34" s="1"/>
  <c r="I11" i="34" s="1"/>
  <c r="G10" i="34"/>
  <c r="H10" i="34" s="1"/>
  <c r="I10" i="34" s="1"/>
  <c r="G9" i="34"/>
  <c r="H9" i="34" s="1"/>
  <c r="I9" i="34" s="1"/>
  <c r="G8" i="34"/>
  <c r="H8" i="34" s="1"/>
  <c r="I8" i="34" s="1"/>
  <c r="G6" i="34"/>
  <c r="H6" i="34" s="1"/>
  <c r="I6" i="34" s="1"/>
  <c r="G5" i="34"/>
  <c r="H5" i="34" s="1"/>
  <c r="I5" i="34" s="1"/>
  <c r="H4" i="34"/>
  <c r="I4" i="34" s="1"/>
  <c r="G3" i="34"/>
  <c r="Q47" i="33"/>
  <c r="Q183" i="33"/>
  <c r="Q43" i="33"/>
  <c r="F191" i="33"/>
  <c r="E191" i="33"/>
  <c r="L190" i="33"/>
  <c r="L191" i="33" s="1"/>
  <c r="K190" i="33"/>
  <c r="K191" i="33" s="1"/>
  <c r="I190" i="33"/>
  <c r="I191" i="33" s="1"/>
  <c r="G190" i="33"/>
  <c r="H190" i="33" s="1"/>
  <c r="H191" i="33" s="1"/>
  <c r="D190" i="33"/>
  <c r="D191" i="33" s="1"/>
  <c r="P186" i="33"/>
  <c r="O186" i="33"/>
  <c r="M186" i="33"/>
  <c r="K186" i="33"/>
  <c r="F186" i="33"/>
  <c r="E186" i="33"/>
  <c r="P183" i="33"/>
  <c r="M183" i="33"/>
  <c r="M191" i="33" s="1"/>
  <c r="K183" i="33"/>
  <c r="K187" i="33" s="1"/>
  <c r="J183" i="33"/>
  <c r="F183" i="33"/>
  <c r="F187" i="33" s="1"/>
  <c r="E183" i="33"/>
  <c r="G182" i="33"/>
  <c r="H182" i="33" s="1"/>
  <c r="I182" i="33" s="1"/>
  <c r="G181" i="33"/>
  <c r="H181" i="33" s="1"/>
  <c r="I181" i="33" s="1"/>
  <c r="G180" i="33"/>
  <c r="H180" i="33" s="1"/>
  <c r="I180" i="33" s="1"/>
  <c r="I179" i="33"/>
  <c r="G179" i="33"/>
  <c r="H179" i="33" s="1"/>
  <c r="I177" i="33"/>
  <c r="G177" i="33"/>
  <c r="H177" i="33" s="1"/>
  <c r="G175" i="33"/>
  <c r="H175" i="33" s="1"/>
  <c r="I175" i="33" s="1"/>
  <c r="G174" i="33"/>
  <c r="H174" i="33" s="1"/>
  <c r="I174" i="33" s="1"/>
  <c r="G173" i="33"/>
  <c r="H173" i="33" s="1"/>
  <c r="I173" i="33" s="1"/>
  <c r="G172" i="33"/>
  <c r="H172" i="33" s="1"/>
  <c r="I172" i="33" s="1"/>
  <c r="G171" i="33"/>
  <c r="H171" i="33" s="1"/>
  <c r="I171" i="33" s="1"/>
  <c r="G170" i="33"/>
  <c r="H170" i="33" s="1"/>
  <c r="I170" i="33" s="1"/>
  <c r="G168" i="33"/>
  <c r="H168" i="33" s="1"/>
  <c r="I168" i="33" s="1"/>
  <c r="G167" i="33"/>
  <c r="H167" i="33" s="1"/>
  <c r="I167" i="33" s="1"/>
  <c r="G166" i="33"/>
  <c r="H166" i="33" s="1"/>
  <c r="I166" i="33" s="1"/>
  <c r="G165" i="33"/>
  <c r="H165" i="33" s="1"/>
  <c r="I165" i="33" s="1"/>
  <c r="G164" i="33"/>
  <c r="H164" i="33" s="1"/>
  <c r="I164" i="33" s="1"/>
  <c r="G163" i="33"/>
  <c r="H163" i="33" s="1"/>
  <c r="I163" i="33" s="1"/>
  <c r="G162" i="33"/>
  <c r="H162" i="33" s="1"/>
  <c r="I162" i="33" s="1"/>
  <c r="G161" i="33"/>
  <c r="H161" i="33" s="1"/>
  <c r="I161" i="33" s="1"/>
  <c r="G160" i="33"/>
  <c r="H160" i="33" s="1"/>
  <c r="I160" i="33" s="1"/>
  <c r="G159" i="33"/>
  <c r="H159" i="33" s="1"/>
  <c r="I159" i="33" s="1"/>
  <c r="G158" i="33"/>
  <c r="H158" i="33" s="1"/>
  <c r="I158" i="33" s="1"/>
  <c r="G157" i="33"/>
  <c r="H157" i="33" s="1"/>
  <c r="I157" i="33" s="1"/>
  <c r="G156" i="33"/>
  <c r="H156" i="33" s="1"/>
  <c r="I156" i="33" s="1"/>
  <c r="G155" i="33"/>
  <c r="H155" i="33" s="1"/>
  <c r="I155" i="33" s="1"/>
  <c r="G152" i="33"/>
  <c r="H152" i="33" s="1"/>
  <c r="I152" i="33" s="1"/>
  <c r="G151" i="33"/>
  <c r="O150" i="33"/>
  <c r="O149" i="33"/>
  <c r="H149" i="33"/>
  <c r="I149" i="33" s="1"/>
  <c r="G148" i="33"/>
  <c r="H148" i="33" s="1"/>
  <c r="I148" i="33" s="1"/>
  <c r="G147" i="33"/>
  <c r="H147" i="33" s="1"/>
  <c r="I147" i="33" s="1"/>
  <c r="G145" i="33"/>
  <c r="H145" i="33" s="1"/>
  <c r="I145" i="33" s="1"/>
  <c r="D145" i="33"/>
  <c r="I144" i="33"/>
  <c r="G144" i="33"/>
  <c r="H144" i="33" s="1"/>
  <c r="G142" i="33"/>
  <c r="H142" i="33" s="1"/>
  <c r="I142" i="33" s="1"/>
  <c r="G141" i="33"/>
  <c r="H141" i="33" s="1"/>
  <c r="I141" i="33" s="1"/>
  <c r="G140" i="33"/>
  <c r="H140" i="33" s="1"/>
  <c r="I140" i="33" s="1"/>
  <c r="G139" i="33"/>
  <c r="H139" i="33" s="1"/>
  <c r="I139" i="33" s="1"/>
  <c r="G138" i="33"/>
  <c r="H138" i="33" s="1"/>
  <c r="I138" i="33" s="1"/>
  <c r="G137" i="33"/>
  <c r="H137" i="33" s="1"/>
  <c r="I137" i="33" s="1"/>
  <c r="G136" i="33"/>
  <c r="H136" i="33" s="1"/>
  <c r="I136" i="33" s="1"/>
  <c r="I134" i="33"/>
  <c r="G134" i="33"/>
  <c r="H134" i="33" s="1"/>
  <c r="I133" i="33"/>
  <c r="G133" i="33"/>
  <c r="H133" i="33" s="1"/>
  <c r="L132" i="33"/>
  <c r="I132" i="33"/>
  <c r="G132" i="33"/>
  <c r="H132" i="33" s="1"/>
  <c r="G131" i="33"/>
  <c r="H131" i="33" s="1"/>
  <c r="I131" i="33" s="1"/>
  <c r="G130" i="33"/>
  <c r="H130" i="33" s="1"/>
  <c r="I130" i="33" s="1"/>
  <c r="H129" i="33"/>
  <c r="I129" i="33" s="1"/>
  <c r="H128" i="33"/>
  <c r="I128" i="33" s="1"/>
  <c r="G127" i="33"/>
  <c r="H127" i="33" s="1"/>
  <c r="I127" i="33" s="1"/>
  <c r="G126" i="33"/>
  <c r="H126" i="33" s="1"/>
  <c r="I126" i="33" s="1"/>
  <c r="G125" i="33"/>
  <c r="H125" i="33" s="1"/>
  <c r="I125" i="33" s="1"/>
  <c r="G124" i="33"/>
  <c r="H124" i="33" s="1"/>
  <c r="I124" i="33" s="1"/>
  <c r="L120" i="33"/>
  <c r="G120" i="33"/>
  <c r="H120" i="33" s="1"/>
  <c r="G118" i="33"/>
  <c r="H118" i="33" s="1"/>
  <c r="I118" i="33" s="1"/>
  <c r="G117" i="33"/>
  <c r="H117" i="33" s="1"/>
  <c r="I117" i="33" s="1"/>
  <c r="I116" i="33"/>
  <c r="H116" i="33"/>
  <c r="G115" i="33"/>
  <c r="H115" i="33" s="1"/>
  <c r="I115" i="33" s="1"/>
  <c r="H114" i="33"/>
  <c r="I114" i="33" s="1"/>
  <c r="G112" i="33"/>
  <c r="H112" i="33" s="1"/>
  <c r="I112" i="33" s="1"/>
  <c r="I111" i="33"/>
  <c r="G111" i="33"/>
  <c r="H111" i="33" s="1"/>
  <c r="H109" i="33"/>
  <c r="I109" i="33" s="1"/>
  <c r="H108" i="33"/>
  <c r="I108" i="33" s="1"/>
  <c r="G107" i="33"/>
  <c r="H107" i="33" s="1"/>
  <c r="I107" i="33" s="1"/>
  <c r="G106" i="33"/>
  <c r="H106" i="33" s="1"/>
  <c r="I106" i="33" s="1"/>
  <c r="H105" i="33"/>
  <c r="I105" i="33" s="1"/>
  <c r="G104" i="33"/>
  <c r="H104" i="33" s="1"/>
  <c r="I104" i="33" s="1"/>
  <c r="I102" i="33"/>
  <c r="G102" i="33"/>
  <c r="H102" i="33" s="1"/>
  <c r="I99" i="33"/>
  <c r="H99" i="33"/>
  <c r="D99" i="33"/>
  <c r="D186" i="33" s="1"/>
  <c r="I98" i="33"/>
  <c r="G98" i="33"/>
  <c r="H98" i="33" s="1"/>
  <c r="G95" i="33"/>
  <c r="H95" i="33" s="1"/>
  <c r="G94" i="33"/>
  <c r="H94" i="33" s="1"/>
  <c r="G93" i="33"/>
  <c r="H93" i="33" s="1"/>
  <c r="G92" i="33"/>
  <c r="H92" i="33" s="1"/>
  <c r="G91" i="33"/>
  <c r="H91" i="33" s="1"/>
  <c r="I90" i="33"/>
  <c r="G90" i="33"/>
  <c r="H90" i="33" s="1"/>
  <c r="G89" i="33"/>
  <c r="H89" i="33" s="1"/>
  <c r="I89" i="33" s="1"/>
  <c r="G87" i="33"/>
  <c r="H87" i="33" s="1"/>
  <c r="I87" i="33" s="1"/>
  <c r="G86" i="33"/>
  <c r="H86" i="33" s="1"/>
  <c r="I86" i="33" s="1"/>
  <c r="G85" i="33"/>
  <c r="H85" i="33" s="1"/>
  <c r="I85" i="33" s="1"/>
  <c r="G84" i="33"/>
  <c r="H84" i="33" s="1"/>
  <c r="I84" i="33" s="1"/>
  <c r="G83" i="33"/>
  <c r="H83" i="33" s="1"/>
  <c r="I83" i="33" s="1"/>
  <c r="G82" i="33"/>
  <c r="H82" i="33" s="1"/>
  <c r="I82" i="33" s="1"/>
  <c r="G81" i="33"/>
  <c r="H81" i="33" s="1"/>
  <c r="I81" i="33" s="1"/>
  <c r="G80" i="33"/>
  <c r="H80" i="33" s="1"/>
  <c r="I80" i="33" s="1"/>
  <c r="H79" i="33"/>
  <c r="I79" i="33" s="1"/>
  <c r="G78" i="33"/>
  <c r="H78" i="33" s="1"/>
  <c r="I78" i="33" s="1"/>
  <c r="G77" i="33"/>
  <c r="H77" i="33" s="1"/>
  <c r="I77" i="33" s="1"/>
  <c r="G76" i="33"/>
  <c r="H76" i="33" s="1"/>
  <c r="I76" i="33" s="1"/>
  <c r="H75" i="33"/>
  <c r="I75" i="33" s="1"/>
  <c r="N74" i="33"/>
  <c r="N183" i="33" s="1"/>
  <c r="N191" i="33" s="1"/>
  <c r="I74" i="33"/>
  <c r="G74" i="33"/>
  <c r="H74" i="33" s="1"/>
  <c r="G73" i="33"/>
  <c r="H73" i="33" s="1"/>
  <c r="I73" i="33" s="1"/>
  <c r="G70" i="33"/>
  <c r="H70" i="33" s="1"/>
  <c r="I70" i="33" s="1"/>
  <c r="H68" i="33"/>
  <c r="G67" i="33"/>
  <c r="G183" i="33" s="1"/>
  <c r="P46" i="33"/>
  <c r="F46" i="33"/>
  <c r="D46" i="33"/>
  <c r="P42" i="33"/>
  <c r="O42" i="33"/>
  <c r="N42" i="33"/>
  <c r="I42" i="33"/>
  <c r="G42" i="33"/>
  <c r="F42" i="33"/>
  <c r="E42" i="33"/>
  <c r="D42" i="33"/>
  <c r="P41" i="33"/>
  <c r="O41" i="33"/>
  <c r="N41" i="33"/>
  <c r="M41" i="33"/>
  <c r="L41" i="33"/>
  <c r="K41" i="33"/>
  <c r="F41" i="33"/>
  <c r="E41" i="33"/>
  <c r="D41" i="33"/>
  <c r="G40" i="33"/>
  <c r="H40" i="33" s="1"/>
  <c r="I40" i="33" s="1"/>
  <c r="H38" i="33"/>
  <c r="I38" i="33" s="1"/>
  <c r="G37" i="33"/>
  <c r="H37" i="33" s="1"/>
  <c r="I37" i="33" s="1"/>
  <c r="G36" i="33"/>
  <c r="H36" i="33" s="1"/>
  <c r="I36" i="33" s="1"/>
  <c r="H35" i="33"/>
  <c r="I35" i="33" s="1"/>
  <c r="H34" i="33"/>
  <c r="G33" i="33"/>
  <c r="G31" i="33"/>
  <c r="H31" i="33" s="1"/>
  <c r="I31" i="33" s="1"/>
  <c r="H29" i="33"/>
  <c r="I29" i="33" s="1"/>
  <c r="G28" i="33"/>
  <c r="H28" i="33" s="1"/>
  <c r="I28" i="33" s="1"/>
  <c r="G26" i="33"/>
  <c r="H26" i="33" s="1"/>
  <c r="I26" i="33" s="1"/>
  <c r="G25" i="33"/>
  <c r="H25" i="33" s="1"/>
  <c r="I25" i="33" s="1"/>
  <c r="P23" i="33"/>
  <c r="O23" i="33"/>
  <c r="N23" i="33"/>
  <c r="M23" i="33"/>
  <c r="L23" i="33"/>
  <c r="K23" i="33"/>
  <c r="F23" i="33"/>
  <c r="E23" i="33"/>
  <c r="D23" i="33"/>
  <c r="G20" i="33"/>
  <c r="H20" i="33" s="1"/>
  <c r="I20" i="33" s="1"/>
  <c r="I23" i="33" s="1"/>
  <c r="G18" i="33"/>
  <c r="H18" i="33" s="1"/>
  <c r="P17" i="33"/>
  <c r="O17" i="33"/>
  <c r="N17" i="33"/>
  <c r="M17" i="33"/>
  <c r="L17" i="33"/>
  <c r="K17" i="33"/>
  <c r="F17" i="33"/>
  <c r="E17" i="33"/>
  <c r="D17" i="33"/>
  <c r="G16" i="33"/>
  <c r="H16" i="33" s="1"/>
  <c r="I16" i="33" s="1"/>
  <c r="G15" i="33"/>
  <c r="H15" i="33" s="1"/>
  <c r="I15" i="33" s="1"/>
  <c r="G14" i="33"/>
  <c r="H14" i="33" s="1"/>
  <c r="I14" i="33" s="1"/>
  <c r="G12" i="33"/>
  <c r="H12" i="33" s="1"/>
  <c r="I12" i="33" s="1"/>
  <c r="G11" i="33"/>
  <c r="H11" i="33" s="1"/>
  <c r="I11" i="33" s="1"/>
  <c r="G10" i="33"/>
  <c r="H10" i="33" s="1"/>
  <c r="I10" i="33" s="1"/>
  <c r="G9" i="33"/>
  <c r="H9" i="33" s="1"/>
  <c r="I9" i="33" s="1"/>
  <c r="G8" i="33"/>
  <c r="H8" i="33" s="1"/>
  <c r="I8" i="33" s="1"/>
  <c r="G6" i="33"/>
  <c r="H6" i="33" s="1"/>
  <c r="I6" i="33" s="1"/>
  <c r="G5" i="33"/>
  <c r="H5" i="33" s="1"/>
  <c r="I5" i="33" s="1"/>
  <c r="H4" i="33"/>
  <c r="I4" i="33" s="1"/>
  <c r="G3" i="33"/>
  <c r="H3" i="33" s="1"/>
  <c r="I3" i="33" s="1"/>
  <c r="P45" i="32"/>
  <c r="F188" i="32"/>
  <c r="E188" i="32"/>
  <c r="D188" i="32"/>
  <c r="L187" i="32"/>
  <c r="L188" i="32" s="1"/>
  <c r="K187" i="32"/>
  <c r="K188" i="32" s="1"/>
  <c r="I187" i="32"/>
  <c r="I188" i="32" s="1"/>
  <c r="G187" i="32"/>
  <c r="G188" i="32" s="1"/>
  <c r="D187" i="32"/>
  <c r="P183" i="32"/>
  <c r="O183" i="32"/>
  <c r="M183" i="32"/>
  <c r="K183" i="32"/>
  <c r="F183" i="32"/>
  <c r="E183" i="32"/>
  <c r="P180" i="32"/>
  <c r="P182" i="32" s="1"/>
  <c r="P184" i="32" s="1"/>
  <c r="P188" i="32" s="1"/>
  <c r="M180" i="32"/>
  <c r="K180" i="32"/>
  <c r="K184" i="32" s="1"/>
  <c r="J180" i="32"/>
  <c r="F180" i="32"/>
  <c r="F184" i="32" s="1"/>
  <c r="E180" i="32"/>
  <c r="E184" i="32" s="1"/>
  <c r="G179" i="32"/>
  <c r="H179" i="32" s="1"/>
  <c r="I179" i="32" s="1"/>
  <c r="G178" i="32"/>
  <c r="H178" i="32" s="1"/>
  <c r="I178" i="32" s="1"/>
  <c r="G177" i="32"/>
  <c r="H177" i="32" s="1"/>
  <c r="I177" i="32" s="1"/>
  <c r="I176" i="32"/>
  <c r="G176" i="32"/>
  <c r="H176" i="32" s="1"/>
  <c r="I174" i="32"/>
  <c r="G174" i="32"/>
  <c r="H174" i="32" s="1"/>
  <c r="G172" i="32"/>
  <c r="H172" i="32" s="1"/>
  <c r="I172" i="32" s="1"/>
  <c r="G171" i="32"/>
  <c r="H171" i="32" s="1"/>
  <c r="I171" i="32" s="1"/>
  <c r="G170" i="32"/>
  <c r="H170" i="32" s="1"/>
  <c r="I170" i="32" s="1"/>
  <c r="G169" i="32"/>
  <c r="H169" i="32" s="1"/>
  <c r="I169" i="32" s="1"/>
  <c r="G168" i="32"/>
  <c r="H168" i="32" s="1"/>
  <c r="I168" i="32" s="1"/>
  <c r="G167" i="32"/>
  <c r="H167" i="32" s="1"/>
  <c r="I167" i="32" s="1"/>
  <c r="G165" i="32"/>
  <c r="H165" i="32" s="1"/>
  <c r="I165" i="32" s="1"/>
  <c r="G164" i="32"/>
  <c r="H164" i="32" s="1"/>
  <c r="I164" i="32" s="1"/>
  <c r="G163" i="32"/>
  <c r="H163" i="32" s="1"/>
  <c r="I163" i="32" s="1"/>
  <c r="G162" i="32"/>
  <c r="H162" i="32" s="1"/>
  <c r="I162" i="32" s="1"/>
  <c r="G161" i="32"/>
  <c r="H161" i="32" s="1"/>
  <c r="I161" i="32" s="1"/>
  <c r="G160" i="32"/>
  <c r="H160" i="32" s="1"/>
  <c r="I160" i="32" s="1"/>
  <c r="G159" i="32"/>
  <c r="H159" i="32" s="1"/>
  <c r="I159" i="32" s="1"/>
  <c r="G158" i="32"/>
  <c r="H158" i="32" s="1"/>
  <c r="I158" i="32" s="1"/>
  <c r="G157" i="32"/>
  <c r="H157" i="32" s="1"/>
  <c r="I157" i="32" s="1"/>
  <c r="G156" i="32"/>
  <c r="H156" i="32" s="1"/>
  <c r="I156" i="32" s="1"/>
  <c r="G155" i="32"/>
  <c r="H155" i="32" s="1"/>
  <c r="I155" i="32" s="1"/>
  <c r="G154" i="32"/>
  <c r="H154" i="32" s="1"/>
  <c r="I154" i="32" s="1"/>
  <c r="G153" i="32"/>
  <c r="H153" i="32" s="1"/>
  <c r="I153" i="32" s="1"/>
  <c r="G152" i="32"/>
  <c r="H152" i="32" s="1"/>
  <c r="I152" i="32" s="1"/>
  <c r="G149" i="32"/>
  <c r="H149" i="32" s="1"/>
  <c r="I149" i="32" s="1"/>
  <c r="G148" i="32"/>
  <c r="G151" i="32" s="1"/>
  <c r="H151" i="32" s="1"/>
  <c r="I151" i="32" s="1"/>
  <c r="O147" i="32"/>
  <c r="O146" i="32"/>
  <c r="H146" i="32"/>
  <c r="I146" i="32" s="1"/>
  <c r="G145" i="32"/>
  <c r="H145" i="32" s="1"/>
  <c r="I145" i="32" s="1"/>
  <c r="G144" i="32"/>
  <c r="H144" i="32" s="1"/>
  <c r="I144" i="32" s="1"/>
  <c r="G142" i="32"/>
  <c r="H142" i="32" s="1"/>
  <c r="I142" i="32" s="1"/>
  <c r="D142" i="32"/>
  <c r="I141" i="32"/>
  <c r="G141" i="32"/>
  <c r="H141" i="32" s="1"/>
  <c r="G139" i="32"/>
  <c r="H139" i="32" s="1"/>
  <c r="I139" i="32" s="1"/>
  <c r="G138" i="32"/>
  <c r="H138" i="32" s="1"/>
  <c r="I138" i="32" s="1"/>
  <c r="G137" i="32"/>
  <c r="H137" i="32" s="1"/>
  <c r="I137" i="32" s="1"/>
  <c r="G136" i="32"/>
  <c r="H136" i="32" s="1"/>
  <c r="I136" i="32" s="1"/>
  <c r="G135" i="32"/>
  <c r="H135" i="32" s="1"/>
  <c r="I135" i="32" s="1"/>
  <c r="G134" i="32"/>
  <c r="H134" i="32" s="1"/>
  <c r="I134" i="32" s="1"/>
  <c r="G133" i="32"/>
  <c r="H133" i="32" s="1"/>
  <c r="I133" i="32" s="1"/>
  <c r="I131" i="32"/>
  <c r="G131" i="32"/>
  <c r="H131" i="32" s="1"/>
  <c r="I130" i="32"/>
  <c r="G130" i="32"/>
  <c r="H130" i="32" s="1"/>
  <c r="L129" i="32"/>
  <c r="I129" i="32"/>
  <c r="G129" i="32"/>
  <c r="H129" i="32" s="1"/>
  <c r="G128" i="32"/>
  <c r="H128" i="32" s="1"/>
  <c r="I128" i="32" s="1"/>
  <c r="G127" i="32"/>
  <c r="H127" i="32" s="1"/>
  <c r="I127" i="32" s="1"/>
  <c r="H126" i="32"/>
  <c r="I126" i="32" s="1"/>
  <c r="H125" i="32"/>
  <c r="I125" i="32" s="1"/>
  <c r="G124" i="32"/>
  <c r="H124" i="32" s="1"/>
  <c r="I124" i="32" s="1"/>
  <c r="G123" i="32"/>
  <c r="H123" i="32" s="1"/>
  <c r="I123" i="32" s="1"/>
  <c r="G122" i="32"/>
  <c r="H122" i="32" s="1"/>
  <c r="I122" i="32" s="1"/>
  <c r="G121" i="32"/>
  <c r="H121" i="32" s="1"/>
  <c r="I121" i="32" s="1"/>
  <c r="L118" i="32"/>
  <c r="L180" i="32" s="1"/>
  <c r="L184" i="32" s="1"/>
  <c r="G118" i="32"/>
  <c r="H118" i="32" s="1"/>
  <c r="G116" i="32"/>
  <c r="H116" i="32" s="1"/>
  <c r="I116" i="32" s="1"/>
  <c r="G115" i="32"/>
  <c r="H115" i="32" s="1"/>
  <c r="I115" i="32" s="1"/>
  <c r="I114" i="32"/>
  <c r="H114" i="32"/>
  <c r="G113" i="32"/>
  <c r="H113" i="32" s="1"/>
  <c r="I113" i="32" s="1"/>
  <c r="H112" i="32"/>
  <c r="I112" i="32" s="1"/>
  <c r="G110" i="32"/>
  <c r="H110" i="32" s="1"/>
  <c r="I110" i="32" s="1"/>
  <c r="I109" i="32"/>
  <c r="G109" i="32"/>
  <c r="H109" i="32" s="1"/>
  <c r="H107" i="32"/>
  <c r="I107" i="32" s="1"/>
  <c r="H106" i="32"/>
  <c r="I106" i="32" s="1"/>
  <c r="G105" i="32"/>
  <c r="H105" i="32" s="1"/>
  <c r="I105" i="32" s="1"/>
  <c r="G104" i="32"/>
  <c r="H104" i="32" s="1"/>
  <c r="I104" i="32" s="1"/>
  <c r="H103" i="32"/>
  <c r="I103" i="32" s="1"/>
  <c r="G102" i="32"/>
  <c r="H102" i="32" s="1"/>
  <c r="I102" i="32" s="1"/>
  <c r="I100" i="32"/>
  <c r="G100" i="32"/>
  <c r="H100" i="32" s="1"/>
  <c r="I97" i="32"/>
  <c r="H97" i="32"/>
  <c r="D97" i="32"/>
  <c r="I96" i="32"/>
  <c r="G96" i="32"/>
  <c r="H96" i="32" s="1"/>
  <c r="G93" i="32"/>
  <c r="H93" i="32" s="1"/>
  <c r="G92" i="32"/>
  <c r="H92" i="32" s="1"/>
  <c r="G91" i="32"/>
  <c r="H91" i="32" s="1"/>
  <c r="G90" i="32"/>
  <c r="H90" i="32" s="1"/>
  <c r="G89" i="32"/>
  <c r="H89" i="32" s="1"/>
  <c r="I88" i="32"/>
  <c r="G88" i="32"/>
  <c r="H88" i="32" s="1"/>
  <c r="G87" i="32"/>
  <c r="H87" i="32" s="1"/>
  <c r="I87" i="32" s="1"/>
  <c r="G85" i="32"/>
  <c r="H85" i="32" s="1"/>
  <c r="I85" i="32" s="1"/>
  <c r="G84" i="32"/>
  <c r="H84" i="32" s="1"/>
  <c r="I84" i="32" s="1"/>
  <c r="G83" i="32"/>
  <c r="H83" i="32" s="1"/>
  <c r="I83" i="32" s="1"/>
  <c r="G82" i="32"/>
  <c r="H82" i="32" s="1"/>
  <c r="I82" i="32" s="1"/>
  <c r="G81" i="32"/>
  <c r="H81" i="32" s="1"/>
  <c r="I81" i="32" s="1"/>
  <c r="G80" i="32"/>
  <c r="H80" i="32" s="1"/>
  <c r="I80" i="32" s="1"/>
  <c r="G79" i="32"/>
  <c r="H79" i="32" s="1"/>
  <c r="I79" i="32" s="1"/>
  <c r="G78" i="32"/>
  <c r="H78" i="32" s="1"/>
  <c r="I78" i="32" s="1"/>
  <c r="H77" i="32"/>
  <c r="I77" i="32" s="1"/>
  <c r="G76" i="32"/>
  <c r="H76" i="32" s="1"/>
  <c r="I76" i="32" s="1"/>
  <c r="G75" i="32"/>
  <c r="H75" i="32" s="1"/>
  <c r="I75" i="32" s="1"/>
  <c r="G74" i="32"/>
  <c r="H74" i="32" s="1"/>
  <c r="I74" i="32" s="1"/>
  <c r="H73" i="32"/>
  <c r="I73" i="32" s="1"/>
  <c r="N72" i="32"/>
  <c r="I72" i="32"/>
  <c r="G72" i="32"/>
  <c r="G71" i="32"/>
  <c r="H71" i="32" s="1"/>
  <c r="I71" i="32" s="1"/>
  <c r="G68" i="32"/>
  <c r="H68" i="32" s="1"/>
  <c r="I68" i="32" s="1"/>
  <c r="H67" i="32"/>
  <c r="G66" i="32"/>
  <c r="G180" i="32" s="1"/>
  <c r="F45" i="32"/>
  <c r="D45" i="32"/>
  <c r="P41" i="32"/>
  <c r="O41" i="32"/>
  <c r="N41" i="32"/>
  <c r="I41" i="32"/>
  <c r="G41" i="32"/>
  <c r="F41" i="32"/>
  <c r="E41" i="32"/>
  <c r="D41" i="32"/>
  <c r="P40" i="32"/>
  <c r="O40" i="32"/>
  <c r="N40" i="32"/>
  <c r="M40" i="32"/>
  <c r="L40" i="32"/>
  <c r="K40" i="32"/>
  <c r="F40" i="32"/>
  <c r="E40" i="32"/>
  <c r="D40" i="32"/>
  <c r="G39" i="32"/>
  <c r="H39" i="32" s="1"/>
  <c r="I39" i="32" s="1"/>
  <c r="H37" i="32"/>
  <c r="I37" i="32" s="1"/>
  <c r="G36" i="32"/>
  <c r="H36" i="32" s="1"/>
  <c r="I36" i="32" s="1"/>
  <c r="G35" i="32"/>
  <c r="H35" i="32" s="1"/>
  <c r="I35" i="32" s="1"/>
  <c r="H34" i="32"/>
  <c r="I34" i="32" s="1"/>
  <c r="H33" i="32"/>
  <c r="G32" i="32"/>
  <c r="H32" i="32" s="1"/>
  <c r="I32" i="32" s="1"/>
  <c r="G30" i="32"/>
  <c r="H30" i="32" s="1"/>
  <c r="I30" i="32" s="1"/>
  <c r="H28" i="32"/>
  <c r="I28" i="32" s="1"/>
  <c r="G27" i="32"/>
  <c r="H27" i="32" s="1"/>
  <c r="I27" i="32" s="1"/>
  <c r="G25" i="32"/>
  <c r="H25" i="32" s="1"/>
  <c r="I25" i="32" s="1"/>
  <c r="G24" i="32"/>
  <c r="P22" i="32"/>
  <c r="O22" i="32"/>
  <c r="N22" i="32"/>
  <c r="M22" i="32"/>
  <c r="L22" i="32"/>
  <c r="K22" i="32"/>
  <c r="F22" i="32"/>
  <c r="E22" i="32"/>
  <c r="D22" i="32"/>
  <c r="G20" i="32"/>
  <c r="H20" i="32" s="1"/>
  <c r="I20" i="32" s="1"/>
  <c r="I22" i="32" s="1"/>
  <c r="G18" i="32"/>
  <c r="H18" i="32" s="1"/>
  <c r="P17" i="32"/>
  <c r="O17" i="32"/>
  <c r="N17" i="32"/>
  <c r="M17" i="32"/>
  <c r="L17" i="32"/>
  <c r="K17" i="32"/>
  <c r="F17" i="32"/>
  <c r="E17" i="32"/>
  <c r="D17" i="32"/>
  <c r="G16" i="32"/>
  <c r="H16" i="32" s="1"/>
  <c r="I16" i="32" s="1"/>
  <c r="G15" i="32"/>
  <c r="H15" i="32" s="1"/>
  <c r="I15" i="32" s="1"/>
  <c r="G14" i="32"/>
  <c r="H14" i="32" s="1"/>
  <c r="I14" i="32" s="1"/>
  <c r="G12" i="32"/>
  <c r="H12" i="32" s="1"/>
  <c r="I12" i="32" s="1"/>
  <c r="G11" i="32"/>
  <c r="H11" i="32" s="1"/>
  <c r="I11" i="32" s="1"/>
  <c r="G10" i="32"/>
  <c r="H10" i="32" s="1"/>
  <c r="I10" i="32" s="1"/>
  <c r="G9" i="32"/>
  <c r="H9" i="32" s="1"/>
  <c r="I9" i="32" s="1"/>
  <c r="G8" i="32"/>
  <c r="H8" i="32" s="1"/>
  <c r="I8" i="32" s="1"/>
  <c r="G6" i="32"/>
  <c r="H6" i="32" s="1"/>
  <c r="I6" i="32" s="1"/>
  <c r="G5" i="32"/>
  <c r="H5" i="32" s="1"/>
  <c r="I5" i="32" s="1"/>
  <c r="H4" i="32"/>
  <c r="I4" i="32" s="1"/>
  <c r="G3" i="32"/>
  <c r="P182" i="31"/>
  <c r="O182" i="31"/>
  <c r="N182" i="31"/>
  <c r="P144" i="31"/>
  <c r="O144" i="31"/>
  <c r="N144" i="31"/>
  <c r="O166" i="29"/>
  <c r="P181" i="31"/>
  <c r="O181" i="31"/>
  <c r="N181" i="31"/>
  <c r="P176" i="31"/>
  <c r="O176" i="31"/>
  <c r="N176" i="31"/>
  <c r="P139" i="31"/>
  <c r="O139" i="31"/>
  <c r="N139" i="31"/>
  <c r="P128" i="31"/>
  <c r="O128" i="31"/>
  <c r="N128" i="31"/>
  <c r="P120" i="31"/>
  <c r="O120" i="31"/>
  <c r="N120" i="31"/>
  <c r="P114" i="31"/>
  <c r="O114" i="31"/>
  <c r="N114" i="31"/>
  <c r="P108" i="31"/>
  <c r="O108" i="31"/>
  <c r="N108" i="31"/>
  <c r="P104" i="31"/>
  <c r="N104" i="31"/>
  <c r="P101" i="31"/>
  <c r="O101" i="31"/>
  <c r="N101" i="31"/>
  <c r="P96" i="31"/>
  <c r="O96" i="31"/>
  <c r="N96" i="31"/>
  <c r="P90" i="31"/>
  <c r="O90" i="31"/>
  <c r="N90" i="31"/>
  <c r="P86" i="31"/>
  <c r="O86" i="31"/>
  <c r="N86" i="31"/>
  <c r="P76" i="31"/>
  <c r="O76" i="31"/>
  <c r="N76" i="31"/>
  <c r="P73" i="31"/>
  <c r="O73" i="31"/>
  <c r="N73" i="31"/>
  <c r="P58" i="31"/>
  <c r="O58" i="31"/>
  <c r="O41" i="30"/>
  <c r="O41" i="29"/>
  <c r="P169" i="30"/>
  <c r="O169" i="30"/>
  <c r="P169" i="29"/>
  <c r="O169" i="29"/>
  <c r="N17" i="31"/>
  <c r="P185" i="31"/>
  <c r="O185" i="31"/>
  <c r="P38" i="31"/>
  <c r="O38" i="31"/>
  <c r="N38" i="31"/>
  <c r="N40" i="31" s="1"/>
  <c r="P30" i="31"/>
  <c r="O30" i="31"/>
  <c r="F191" i="31"/>
  <c r="E191" i="31"/>
  <c r="L190" i="31"/>
  <c r="L191" i="31" s="1"/>
  <c r="K190" i="31"/>
  <c r="K191" i="31" s="1"/>
  <c r="I190" i="31"/>
  <c r="I191" i="31" s="1"/>
  <c r="G190" i="31"/>
  <c r="G191" i="31" s="1"/>
  <c r="D190" i="31"/>
  <c r="D191" i="31" s="1"/>
  <c r="M185" i="31"/>
  <c r="K185" i="31"/>
  <c r="F185" i="31"/>
  <c r="E185" i="31"/>
  <c r="M182" i="31"/>
  <c r="K182" i="31"/>
  <c r="K186" i="31" s="1"/>
  <c r="J182" i="31"/>
  <c r="F182" i="31"/>
  <c r="F186" i="31" s="1"/>
  <c r="E182" i="31"/>
  <c r="E186" i="31" s="1"/>
  <c r="G180" i="31"/>
  <c r="H180" i="31" s="1"/>
  <c r="I180" i="31" s="1"/>
  <c r="G179" i="31"/>
  <c r="H179" i="31" s="1"/>
  <c r="I179" i="31" s="1"/>
  <c r="G178" i="31"/>
  <c r="H178" i="31" s="1"/>
  <c r="I178" i="31" s="1"/>
  <c r="I177" i="31"/>
  <c r="G177" i="31"/>
  <c r="H177" i="31" s="1"/>
  <c r="I174" i="31"/>
  <c r="G174" i="31"/>
  <c r="H174" i="31" s="1"/>
  <c r="G172" i="31"/>
  <c r="H172" i="31" s="1"/>
  <c r="I172" i="31" s="1"/>
  <c r="G171" i="31"/>
  <c r="H171" i="31" s="1"/>
  <c r="I171" i="31" s="1"/>
  <c r="G170" i="31"/>
  <c r="H170" i="31" s="1"/>
  <c r="I170" i="31" s="1"/>
  <c r="G169" i="31"/>
  <c r="H169" i="31" s="1"/>
  <c r="I169" i="31" s="1"/>
  <c r="G168" i="31"/>
  <c r="H168" i="31" s="1"/>
  <c r="I168" i="31" s="1"/>
  <c r="G167" i="31"/>
  <c r="H167" i="31" s="1"/>
  <c r="I167" i="31" s="1"/>
  <c r="G165" i="31"/>
  <c r="H165" i="31" s="1"/>
  <c r="I165" i="31" s="1"/>
  <c r="G164" i="31"/>
  <c r="H164" i="31" s="1"/>
  <c r="I164" i="31" s="1"/>
  <c r="G163" i="31"/>
  <c r="H163" i="31" s="1"/>
  <c r="I163" i="31" s="1"/>
  <c r="G162" i="31"/>
  <c r="H162" i="31" s="1"/>
  <c r="I162" i="31" s="1"/>
  <c r="G161" i="31"/>
  <c r="H161" i="31" s="1"/>
  <c r="I161" i="31" s="1"/>
  <c r="G160" i="31"/>
  <c r="H160" i="31" s="1"/>
  <c r="I160" i="31" s="1"/>
  <c r="G159" i="31"/>
  <c r="H159" i="31" s="1"/>
  <c r="I159" i="31" s="1"/>
  <c r="G158" i="31"/>
  <c r="H158" i="31" s="1"/>
  <c r="I158" i="31" s="1"/>
  <c r="G157" i="31"/>
  <c r="H157" i="31" s="1"/>
  <c r="I157" i="31" s="1"/>
  <c r="G156" i="31"/>
  <c r="H156" i="31" s="1"/>
  <c r="I156" i="31" s="1"/>
  <c r="G155" i="31"/>
  <c r="H155" i="31" s="1"/>
  <c r="I155" i="31" s="1"/>
  <c r="G154" i="31"/>
  <c r="H154" i="31" s="1"/>
  <c r="I154" i="31" s="1"/>
  <c r="G153" i="31"/>
  <c r="H153" i="31" s="1"/>
  <c r="I153" i="31" s="1"/>
  <c r="G152" i="31"/>
  <c r="H152" i="31" s="1"/>
  <c r="I152" i="31" s="1"/>
  <c r="G149" i="31"/>
  <c r="H149" i="31" s="1"/>
  <c r="I149" i="31" s="1"/>
  <c r="G148" i="31"/>
  <c r="G151" i="31" s="1"/>
  <c r="H151" i="31" s="1"/>
  <c r="I151" i="31" s="1"/>
  <c r="O146" i="31"/>
  <c r="O145" i="31"/>
  <c r="H145" i="31"/>
  <c r="I145" i="31" s="1"/>
  <c r="G143" i="31"/>
  <c r="H143" i="31" s="1"/>
  <c r="I143" i="31" s="1"/>
  <c r="G142" i="31"/>
  <c r="H142" i="31" s="1"/>
  <c r="I142" i="31" s="1"/>
  <c r="G140" i="31"/>
  <c r="H140" i="31" s="1"/>
  <c r="I140" i="31" s="1"/>
  <c r="D140" i="31"/>
  <c r="I138" i="31"/>
  <c r="G138" i="31"/>
  <c r="H138" i="31" s="1"/>
  <c r="G136" i="31"/>
  <c r="H136" i="31" s="1"/>
  <c r="I136" i="31" s="1"/>
  <c r="G135" i="31"/>
  <c r="H135" i="31" s="1"/>
  <c r="I135" i="31" s="1"/>
  <c r="G134" i="31"/>
  <c r="H134" i="31" s="1"/>
  <c r="I134" i="31" s="1"/>
  <c r="G133" i="31"/>
  <c r="H133" i="31" s="1"/>
  <c r="I133" i="31" s="1"/>
  <c r="G132" i="31"/>
  <c r="H132" i="31" s="1"/>
  <c r="I132" i="31" s="1"/>
  <c r="G131" i="31"/>
  <c r="H131" i="31" s="1"/>
  <c r="I131" i="31" s="1"/>
  <c r="G130" i="31"/>
  <c r="H130" i="31" s="1"/>
  <c r="I130" i="31" s="1"/>
  <c r="I127" i="31"/>
  <c r="G127" i="31"/>
  <c r="H127" i="31" s="1"/>
  <c r="I126" i="31"/>
  <c r="G126" i="31"/>
  <c r="H126" i="31" s="1"/>
  <c r="L125" i="31"/>
  <c r="I125" i="31"/>
  <c r="G125" i="31"/>
  <c r="H125" i="31" s="1"/>
  <c r="G124" i="31"/>
  <c r="H124" i="31" s="1"/>
  <c r="I124" i="31" s="1"/>
  <c r="G123" i="31"/>
  <c r="H123" i="31" s="1"/>
  <c r="I123" i="31" s="1"/>
  <c r="H122" i="31"/>
  <c r="I122" i="31" s="1"/>
  <c r="H121" i="31"/>
  <c r="I121" i="31" s="1"/>
  <c r="G119" i="31"/>
  <c r="H119" i="31" s="1"/>
  <c r="I119" i="31" s="1"/>
  <c r="G118" i="31"/>
  <c r="H118" i="31" s="1"/>
  <c r="I118" i="31" s="1"/>
  <c r="G117" i="31"/>
  <c r="H117" i="31" s="1"/>
  <c r="I117" i="31" s="1"/>
  <c r="G116" i="31"/>
  <c r="H116" i="31" s="1"/>
  <c r="I116" i="31" s="1"/>
  <c r="L112" i="31"/>
  <c r="L182" i="31" s="1"/>
  <c r="L186" i="31" s="1"/>
  <c r="G112" i="31"/>
  <c r="H112" i="31" s="1"/>
  <c r="G110" i="31"/>
  <c r="H110" i="31" s="1"/>
  <c r="I110" i="31" s="1"/>
  <c r="G109" i="31"/>
  <c r="H109" i="31" s="1"/>
  <c r="I109" i="31" s="1"/>
  <c r="I107" i="31"/>
  <c r="H107" i="31"/>
  <c r="G106" i="31"/>
  <c r="H106" i="31" s="1"/>
  <c r="I106" i="31" s="1"/>
  <c r="H105" i="31"/>
  <c r="I105" i="31" s="1"/>
  <c r="G102" i="31"/>
  <c r="H102" i="31" s="1"/>
  <c r="I102" i="31" s="1"/>
  <c r="I100" i="31"/>
  <c r="G100" i="31"/>
  <c r="H100" i="31" s="1"/>
  <c r="H98" i="31"/>
  <c r="I98" i="31" s="1"/>
  <c r="H97" i="31"/>
  <c r="I97" i="31" s="1"/>
  <c r="G95" i="31"/>
  <c r="H95" i="31" s="1"/>
  <c r="I95" i="31" s="1"/>
  <c r="G94" i="31"/>
  <c r="H94" i="31" s="1"/>
  <c r="I94" i="31" s="1"/>
  <c r="H93" i="31"/>
  <c r="I93" i="31" s="1"/>
  <c r="G92" i="31"/>
  <c r="H92" i="31" s="1"/>
  <c r="I92" i="31" s="1"/>
  <c r="I89" i="31"/>
  <c r="G89" i="31"/>
  <c r="H89" i="31" s="1"/>
  <c r="I85" i="31"/>
  <c r="H85" i="31"/>
  <c r="D85" i="31"/>
  <c r="I84" i="31"/>
  <c r="G84" i="31"/>
  <c r="H84" i="31" s="1"/>
  <c r="G81" i="31"/>
  <c r="H81" i="31" s="1"/>
  <c r="G80" i="31"/>
  <c r="H80" i="31" s="1"/>
  <c r="G79" i="31"/>
  <c r="H79" i="31" s="1"/>
  <c r="G78" i="31"/>
  <c r="H78" i="31" s="1"/>
  <c r="G77" i="31"/>
  <c r="H77" i="31" s="1"/>
  <c r="I75" i="31"/>
  <c r="G75" i="31"/>
  <c r="H75" i="31" s="1"/>
  <c r="G74" i="31"/>
  <c r="H74" i="31" s="1"/>
  <c r="I74" i="31" s="1"/>
  <c r="G71" i="31"/>
  <c r="H71" i="31" s="1"/>
  <c r="I71" i="31" s="1"/>
  <c r="G70" i="31"/>
  <c r="H70" i="31" s="1"/>
  <c r="I70" i="31" s="1"/>
  <c r="G69" i="31"/>
  <c r="H69" i="31" s="1"/>
  <c r="I69" i="31" s="1"/>
  <c r="G68" i="31"/>
  <c r="H68" i="31" s="1"/>
  <c r="I68" i="31" s="1"/>
  <c r="G67" i="31"/>
  <c r="H67" i="31" s="1"/>
  <c r="I67" i="31" s="1"/>
  <c r="G66" i="31"/>
  <c r="H66" i="31" s="1"/>
  <c r="I66" i="31" s="1"/>
  <c r="G65" i="31"/>
  <c r="H65" i="31" s="1"/>
  <c r="I65" i="31" s="1"/>
  <c r="G64" i="31"/>
  <c r="H64" i="31" s="1"/>
  <c r="I64" i="31" s="1"/>
  <c r="H63" i="31"/>
  <c r="I63" i="31" s="1"/>
  <c r="G62" i="31"/>
  <c r="H62" i="31" s="1"/>
  <c r="I62" i="31" s="1"/>
  <c r="G61" i="31"/>
  <c r="H61" i="31" s="1"/>
  <c r="I61" i="31" s="1"/>
  <c r="G60" i="31"/>
  <c r="H60" i="31" s="1"/>
  <c r="I60" i="31" s="1"/>
  <c r="H59" i="31"/>
  <c r="I59" i="31" s="1"/>
  <c r="N57" i="31"/>
  <c r="N58" i="31" s="1"/>
  <c r="I57" i="31"/>
  <c r="G57" i="31"/>
  <c r="G56" i="31"/>
  <c r="H56" i="31" s="1"/>
  <c r="I56" i="31" s="1"/>
  <c r="G53" i="31"/>
  <c r="H53" i="31" s="1"/>
  <c r="I53" i="31" s="1"/>
  <c r="H52" i="31"/>
  <c r="G51" i="31"/>
  <c r="H51" i="31" s="1"/>
  <c r="H182" i="31" s="1"/>
  <c r="F45" i="31"/>
  <c r="D45" i="31"/>
  <c r="P41" i="31"/>
  <c r="O41" i="31"/>
  <c r="N41" i="31"/>
  <c r="I41" i="31"/>
  <c r="G41" i="31"/>
  <c r="F41" i="31"/>
  <c r="E41" i="31"/>
  <c r="D41" i="31"/>
  <c r="M40" i="31"/>
  <c r="L40" i="31"/>
  <c r="K40" i="31"/>
  <c r="F40" i="31"/>
  <c r="E40" i="31"/>
  <c r="D40" i="31"/>
  <c r="G39" i="31"/>
  <c r="H39" i="31" s="1"/>
  <c r="I39" i="31" s="1"/>
  <c r="H36" i="31"/>
  <c r="I36" i="31" s="1"/>
  <c r="G35" i="31"/>
  <c r="H35" i="31" s="1"/>
  <c r="I35" i="31" s="1"/>
  <c r="G34" i="31"/>
  <c r="H34" i="31" s="1"/>
  <c r="I34" i="31" s="1"/>
  <c r="H33" i="31"/>
  <c r="I33" i="31" s="1"/>
  <c r="H32" i="31"/>
  <c r="G31" i="31"/>
  <c r="H31" i="31" s="1"/>
  <c r="I31" i="31" s="1"/>
  <c r="G28" i="31"/>
  <c r="H28" i="31" s="1"/>
  <c r="I28" i="31" s="1"/>
  <c r="G26" i="31"/>
  <c r="H26" i="31" s="1"/>
  <c r="I26" i="31" s="1"/>
  <c r="G24" i="31"/>
  <c r="H24" i="31" s="1"/>
  <c r="I24" i="31" s="1"/>
  <c r="G23" i="31"/>
  <c r="P21" i="31"/>
  <c r="O21" i="31"/>
  <c r="N21" i="31"/>
  <c r="M21" i="31"/>
  <c r="L21" i="31"/>
  <c r="K21" i="31"/>
  <c r="F21" i="31"/>
  <c r="E21" i="31"/>
  <c r="D21" i="31"/>
  <c r="G19" i="31"/>
  <c r="H19" i="31" s="1"/>
  <c r="I19" i="31" s="1"/>
  <c r="I21" i="31" s="1"/>
  <c r="G18" i="31"/>
  <c r="H18" i="31" s="1"/>
  <c r="P17" i="31"/>
  <c r="O17" i="31"/>
  <c r="M17" i="31"/>
  <c r="L17" i="31"/>
  <c r="K17" i="31"/>
  <c r="F17" i="31"/>
  <c r="E17" i="31"/>
  <c r="D17" i="31"/>
  <c r="G16" i="31"/>
  <c r="H16" i="31" s="1"/>
  <c r="I16" i="31" s="1"/>
  <c r="G15" i="31"/>
  <c r="H15" i="31" s="1"/>
  <c r="I15" i="31" s="1"/>
  <c r="G14" i="31"/>
  <c r="H14" i="31" s="1"/>
  <c r="I14" i="31" s="1"/>
  <c r="G12" i="31"/>
  <c r="H12" i="31" s="1"/>
  <c r="I12" i="31" s="1"/>
  <c r="G11" i="31"/>
  <c r="H11" i="31" s="1"/>
  <c r="I11" i="31" s="1"/>
  <c r="G10" i="31"/>
  <c r="H10" i="31" s="1"/>
  <c r="I10" i="31" s="1"/>
  <c r="G9" i="31"/>
  <c r="H9" i="31" s="1"/>
  <c r="I9" i="31" s="1"/>
  <c r="G8" i="31"/>
  <c r="H8" i="31" s="1"/>
  <c r="I8" i="31" s="1"/>
  <c r="G6" i="31"/>
  <c r="H6" i="31" s="1"/>
  <c r="I6" i="31" s="1"/>
  <c r="G5" i="31"/>
  <c r="H5" i="31" s="1"/>
  <c r="I5" i="31" s="1"/>
  <c r="H4" i="31"/>
  <c r="I4" i="31" s="1"/>
  <c r="G3" i="31"/>
  <c r="H3" i="31" s="1"/>
  <c r="F175" i="30"/>
  <c r="E175" i="30"/>
  <c r="L174" i="30"/>
  <c r="L175" i="30" s="1"/>
  <c r="K174" i="30"/>
  <c r="K175" i="30" s="1"/>
  <c r="I174" i="30"/>
  <c r="I175" i="30" s="1"/>
  <c r="G174" i="30"/>
  <c r="G175" i="30" s="1"/>
  <c r="D174" i="30"/>
  <c r="D175" i="30" s="1"/>
  <c r="M169" i="30"/>
  <c r="K169" i="30"/>
  <c r="F169" i="30"/>
  <c r="E169" i="30"/>
  <c r="P166" i="30"/>
  <c r="M166" i="30"/>
  <c r="M168" i="30" s="1"/>
  <c r="M170" i="30" s="1"/>
  <c r="K166" i="30"/>
  <c r="K170" i="30" s="1"/>
  <c r="J166" i="30"/>
  <c r="F166" i="30"/>
  <c r="F170" i="30" s="1"/>
  <c r="E166" i="30"/>
  <c r="E170" i="30" s="1"/>
  <c r="G165" i="30"/>
  <c r="H165" i="30" s="1"/>
  <c r="I165" i="30" s="1"/>
  <c r="G164" i="30"/>
  <c r="H164" i="30" s="1"/>
  <c r="I164" i="30" s="1"/>
  <c r="G163" i="30"/>
  <c r="H163" i="30" s="1"/>
  <c r="I163" i="30" s="1"/>
  <c r="I162" i="30"/>
  <c r="G162" i="30"/>
  <c r="H162" i="30" s="1"/>
  <c r="I160" i="30"/>
  <c r="G160" i="30"/>
  <c r="H160" i="30" s="1"/>
  <c r="G158" i="30"/>
  <c r="H158" i="30" s="1"/>
  <c r="I158" i="30" s="1"/>
  <c r="G157" i="30"/>
  <c r="H157" i="30" s="1"/>
  <c r="I157" i="30" s="1"/>
  <c r="H156" i="30"/>
  <c r="I156" i="30" s="1"/>
  <c r="G156" i="30"/>
  <c r="G155" i="30"/>
  <c r="H155" i="30" s="1"/>
  <c r="I155" i="30" s="1"/>
  <c r="H154" i="30"/>
  <c r="I154" i="30" s="1"/>
  <c r="G154" i="30"/>
  <c r="G153" i="30"/>
  <c r="H153" i="30" s="1"/>
  <c r="I153" i="30" s="1"/>
  <c r="G151" i="30"/>
  <c r="H151" i="30" s="1"/>
  <c r="I151" i="30" s="1"/>
  <c r="G150" i="30"/>
  <c r="H150" i="30" s="1"/>
  <c r="I150" i="30" s="1"/>
  <c r="G149" i="30"/>
  <c r="H149" i="30" s="1"/>
  <c r="I149" i="30" s="1"/>
  <c r="G148" i="30"/>
  <c r="H148" i="30" s="1"/>
  <c r="I148" i="30" s="1"/>
  <c r="H147" i="30"/>
  <c r="I147" i="30" s="1"/>
  <c r="G147" i="30"/>
  <c r="G146" i="30"/>
  <c r="H146" i="30" s="1"/>
  <c r="I146" i="30" s="1"/>
  <c r="H145" i="30"/>
  <c r="I145" i="30" s="1"/>
  <c r="G145" i="30"/>
  <c r="G144" i="30"/>
  <c r="H144" i="30" s="1"/>
  <c r="I144" i="30" s="1"/>
  <c r="G143" i="30"/>
  <c r="H143" i="30" s="1"/>
  <c r="I143" i="30" s="1"/>
  <c r="G142" i="30"/>
  <c r="H142" i="30" s="1"/>
  <c r="I142" i="30" s="1"/>
  <c r="G141" i="30"/>
  <c r="H141" i="30" s="1"/>
  <c r="I141" i="30" s="1"/>
  <c r="G140" i="30"/>
  <c r="H140" i="30" s="1"/>
  <c r="I140" i="30" s="1"/>
  <c r="H139" i="30"/>
  <c r="I139" i="30" s="1"/>
  <c r="G139" i="30"/>
  <c r="G138" i="30"/>
  <c r="H138" i="30" s="1"/>
  <c r="I138" i="30" s="1"/>
  <c r="G136" i="30"/>
  <c r="H136" i="30" s="1"/>
  <c r="I136" i="30" s="1"/>
  <c r="H135" i="30"/>
  <c r="I135" i="30" s="1"/>
  <c r="G135" i="30"/>
  <c r="G134" i="30"/>
  <c r="G137" i="30" s="1"/>
  <c r="H137" i="30" s="1"/>
  <c r="I137" i="30" s="1"/>
  <c r="O133" i="30"/>
  <c r="O132" i="30"/>
  <c r="H132" i="30"/>
  <c r="I132" i="30" s="1"/>
  <c r="G131" i="30"/>
  <c r="H131" i="30" s="1"/>
  <c r="I131" i="30" s="1"/>
  <c r="G130" i="30"/>
  <c r="H130" i="30" s="1"/>
  <c r="I130" i="30" s="1"/>
  <c r="G128" i="30"/>
  <c r="H128" i="30" s="1"/>
  <c r="I128" i="30" s="1"/>
  <c r="D128" i="30"/>
  <c r="I127" i="30"/>
  <c r="G127" i="30"/>
  <c r="H127" i="30" s="1"/>
  <c r="G125" i="30"/>
  <c r="H125" i="30" s="1"/>
  <c r="I125" i="30" s="1"/>
  <c r="H124" i="30"/>
  <c r="I124" i="30" s="1"/>
  <c r="G124" i="30"/>
  <c r="G123" i="30"/>
  <c r="H123" i="30" s="1"/>
  <c r="I123" i="30" s="1"/>
  <c r="H122" i="30"/>
  <c r="I122" i="30" s="1"/>
  <c r="G122" i="30"/>
  <c r="G121" i="30"/>
  <c r="H121" i="30" s="1"/>
  <c r="I121" i="30" s="1"/>
  <c r="G120" i="30"/>
  <c r="H120" i="30" s="1"/>
  <c r="I120" i="30" s="1"/>
  <c r="G119" i="30"/>
  <c r="H119" i="30" s="1"/>
  <c r="I119" i="30" s="1"/>
  <c r="I117" i="30"/>
  <c r="G117" i="30"/>
  <c r="H117" i="30" s="1"/>
  <c r="I116" i="30"/>
  <c r="G116" i="30"/>
  <c r="H116" i="30" s="1"/>
  <c r="L115" i="30"/>
  <c r="I115" i="30"/>
  <c r="G115" i="30"/>
  <c r="H115" i="30" s="1"/>
  <c r="G114" i="30"/>
  <c r="H114" i="30" s="1"/>
  <c r="I114" i="30" s="1"/>
  <c r="G113" i="30"/>
  <c r="H113" i="30" s="1"/>
  <c r="I113" i="30" s="1"/>
  <c r="H112" i="30"/>
  <c r="I112" i="30" s="1"/>
  <c r="H111" i="30"/>
  <c r="I111" i="30" s="1"/>
  <c r="G110" i="30"/>
  <c r="H110" i="30" s="1"/>
  <c r="I110" i="30" s="1"/>
  <c r="G109" i="30"/>
  <c r="H109" i="30" s="1"/>
  <c r="I109" i="30" s="1"/>
  <c r="G108" i="30"/>
  <c r="H108" i="30" s="1"/>
  <c r="I108" i="30" s="1"/>
  <c r="G107" i="30"/>
  <c r="H107" i="30" s="1"/>
  <c r="I107" i="30" s="1"/>
  <c r="L104" i="30"/>
  <c r="L169" i="30" s="1"/>
  <c r="G104" i="30"/>
  <c r="H104" i="30" s="1"/>
  <c r="G102" i="30"/>
  <c r="H102" i="30" s="1"/>
  <c r="I102" i="30" s="1"/>
  <c r="H101" i="30"/>
  <c r="I101" i="30" s="1"/>
  <c r="G101" i="30"/>
  <c r="I100" i="30"/>
  <c r="H100" i="30"/>
  <c r="G99" i="30"/>
  <c r="H99" i="30" s="1"/>
  <c r="I99" i="30" s="1"/>
  <c r="H98" i="30"/>
  <c r="I98" i="30" s="1"/>
  <c r="G96" i="30"/>
  <c r="H96" i="30" s="1"/>
  <c r="I96" i="30" s="1"/>
  <c r="I95" i="30"/>
  <c r="G95" i="30"/>
  <c r="H95" i="30" s="1"/>
  <c r="H93" i="30"/>
  <c r="I93" i="30" s="1"/>
  <c r="H92" i="30"/>
  <c r="I92" i="30" s="1"/>
  <c r="H91" i="30"/>
  <c r="I91" i="30" s="1"/>
  <c r="G91" i="30"/>
  <c r="G90" i="30"/>
  <c r="H90" i="30" s="1"/>
  <c r="I90" i="30" s="1"/>
  <c r="H89" i="30"/>
  <c r="I89" i="30" s="1"/>
  <c r="H88" i="30"/>
  <c r="I88" i="30" s="1"/>
  <c r="G88" i="30"/>
  <c r="I86" i="30"/>
  <c r="G86" i="30"/>
  <c r="H86" i="30" s="1"/>
  <c r="I83" i="30"/>
  <c r="H83" i="30"/>
  <c r="D83" i="30"/>
  <c r="D169" i="30" s="1"/>
  <c r="I82" i="30"/>
  <c r="G82" i="30"/>
  <c r="H82" i="30" s="1"/>
  <c r="G79" i="30"/>
  <c r="H79" i="30" s="1"/>
  <c r="G78" i="30"/>
  <c r="H78" i="30" s="1"/>
  <c r="G77" i="30"/>
  <c r="H77" i="30" s="1"/>
  <c r="G76" i="30"/>
  <c r="H76" i="30" s="1"/>
  <c r="G75" i="30"/>
  <c r="H75" i="30" s="1"/>
  <c r="I74" i="30"/>
  <c r="H74" i="30"/>
  <c r="G74" i="30"/>
  <c r="G73" i="30"/>
  <c r="H73" i="30" s="1"/>
  <c r="I73" i="30" s="1"/>
  <c r="G71" i="30"/>
  <c r="H71" i="30" s="1"/>
  <c r="I71" i="30" s="1"/>
  <c r="G70" i="30"/>
  <c r="H70" i="30" s="1"/>
  <c r="I70" i="30" s="1"/>
  <c r="G69" i="30"/>
  <c r="H69" i="30" s="1"/>
  <c r="I69" i="30" s="1"/>
  <c r="G68" i="30"/>
  <c r="H68" i="30" s="1"/>
  <c r="I68" i="30" s="1"/>
  <c r="H67" i="30"/>
  <c r="I67" i="30" s="1"/>
  <c r="G67" i="30"/>
  <c r="G66" i="30"/>
  <c r="H66" i="30" s="1"/>
  <c r="I66" i="30" s="1"/>
  <c r="H65" i="30"/>
  <c r="I65" i="30" s="1"/>
  <c r="G65" i="30"/>
  <c r="G64" i="30"/>
  <c r="H64" i="30" s="1"/>
  <c r="I64" i="30" s="1"/>
  <c r="H63" i="30"/>
  <c r="I63" i="30" s="1"/>
  <c r="H62" i="30"/>
  <c r="I62" i="30" s="1"/>
  <c r="G62" i="30"/>
  <c r="G61" i="30"/>
  <c r="H61" i="30" s="1"/>
  <c r="I61" i="30" s="1"/>
  <c r="G60" i="30"/>
  <c r="H60" i="30" s="1"/>
  <c r="I60" i="30" s="1"/>
  <c r="I59" i="30"/>
  <c r="H59" i="30"/>
  <c r="N58" i="30"/>
  <c r="I58" i="30"/>
  <c r="I169" i="30" s="1"/>
  <c r="H58" i="30"/>
  <c r="G58" i="30"/>
  <c r="G57" i="30"/>
  <c r="H57" i="30" s="1"/>
  <c r="I57" i="30" s="1"/>
  <c r="H54" i="30"/>
  <c r="I54" i="30" s="1"/>
  <c r="G54" i="30"/>
  <c r="H53" i="30"/>
  <c r="G52" i="30"/>
  <c r="F46" i="30"/>
  <c r="D46" i="30"/>
  <c r="P42" i="30"/>
  <c r="O42" i="30"/>
  <c r="N42" i="30"/>
  <c r="I42" i="30"/>
  <c r="G42" i="30"/>
  <c r="H42" i="30" s="1"/>
  <c r="F42" i="30"/>
  <c r="E42" i="30"/>
  <c r="D42" i="30"/>
  <c r="P41" i="30"/>
  <c r="N41" i="30"/>
  <c r="M41" i="30"/>
  <c r="L41" i="30"/>
  <c r="K41" i="30"/>
  <c r="F41" i="30"/>
  <c r="E41" i="30"/>
  <c r="D41" i="30"/>
  <c r="H40" i="30"/>
  <c r="I40" i="30" s="1"/>
  <c r="G40" i="30"/>
  <c r="H38" i="30"/>
  <c r="I38" i="30" s="1"/>
  <c r="G37" i="30"/>
  <c r="H37" i="30" s="1"/>
  <c r="I37" i="30" s="1"/>
  <c r="H36" i="30"/>
  <c r="I36" i="30" s="1"/>
  <c r="G36" i="30"/>
  <c r="H35" i="30"/>
  <c r="I35" i="30" s="1"/>
  <c r="H34" i="30"/>
  <c r="G33" i="30"/>
  <c r="H33" i="30" s="1"/>
  <c r="I33" i="30" s="1"/>
  <c r="G31" i="30"/>
  <c r="H31" i="30" s="1"/>
  <c r="I31" i="30" s="1"/>
  <c r="H29" i="30"/>
  <c r="I29" i="30" s="1"/>
  <c r="G28" i="30"/>
  <c r="H28" i="30" s="1"/>
  <c r="I28" i="30" s="1"/>
  <c r="G26" i="30"/>
  <c r="H26" i="30" s="1"/>
  <c r="I26" i="30" s="1"/>
  <c r="H25" i="30"/>
  <c r="I25" i="30" s="1"/>
  <c r="G25" i="30"/>
  <c r="P23" i="30"/>
  <c r="O23" i="30"/>
  <c r="N23" i="30"/>
  <c r="M23" i="30"/>
  <c r="L23" i="30"/>
  <c r="L43" i="30" s="1"/>
  <c r="L47" i="30" s="1"/>
  <c r="K23" i="30"/>
  <c r="F23" i="30"/>
  <c r="E23" i="30"/>
  <c r="D23" i="30"/>
  <c r="H22" i="30"/>
  <c r="G20" i="30"/>
  <c r="H20" i="30" s="1"/>
  <c r="I20" i="30" s="1"/>
  <c r="I23" i="30" s="1"/>
  <c r="H18" i="30"/>
  <c r="G18" i="30"/>
  <c r="G23" i="30" s="1"/>
  <c r="P17" i="30"/>
  <c r="O17" i="30"/>
  <c r="N17" i="30"/>
  <c r="N43" i="30" s="1"/>
  <c r="M17" i="30"/>
  <c r="M43" i="30" s="1"/>
  <c r="L17" i="30"/>
  <c r="K17" i="30"/>
  <c r="F17" i="30"/>
  <c r="F43" i="30" s="1"/>
  <c r="F47" i="30" s="1"/>
  <c r="E17" i="30"/>
  <c r="E43" i="30" s="1"/>
  <c r="E47" i="30" s="1"/>
  <c r="D17" i="30"/>
  <c r="G16" i="30"/>
  <c r="H16" i="30" s="1"/>
  <c r="I16" i="30" s="1"/>
  <c r="H15" i="30"/>
  <c r="I15" i="30" s="1"/>
  <c r="G15" i="30"/>
  <c r="G14" i="30"/>
  <c r="H14" i="30" s="1"/>
  <c r="I14" i="30" s="1"/>
  <c r="G12" i="30"/>
  <c r="H12" i="30" s="1"/>
  <c r="I12" i="30" s="1"/>
  <c r="G11" i="30"/>
  <c r="H11" i="30" s="1"/>
  <c r="I11" i="30" s="1"/>
  <c r="G10" i="30"/>
  <c r="H10" i="30" s="1"/>
  <c r="I10" i="30" s="1"/>
  <c r="I9" i="30"/>
  <c r="G9" i="30"/>
  <c r="H9" i="30" s="1"/>
  <c r="G8" i="30"/>
  <c r="H8" i="30" s="1"/>
  <c r="I8" i="30" s="1"/>
  <c r="G6" i="30"/>
  <c r="H6" i="30" s="1"/>
  <c r="I6" i="30" s="1"/>
  <c r="H5" i="30"/>
  <c r="I5" i="30" s="1"/>
  <c r="G5" i="30"/>
  <c r="H4" i="30"/>
  <c r="I4" i="30" s="1"/>
  <c r="G3" i="30"/>
  <c r="V193" i="35" l="1"/>
  <c r="P47" i="35"/>
  <c r="T45" i="35"/>
  <c r="V28" i="35"/>
  <c r="V45" i="35" s="1"/>
  <c r="V19" i="35"/>
  <c r="R26" i="35"/>
  <c r="E47" i="35"/>
  <c r="E51" i="35" s="1"/>
  <c r="O193" i="35"/>
  <c r="G26" i="35"/>
  <c r="F47" i="35"/>
  <c r="F51" i="35" s="1"/>
  <c r="T19" i="35"/>
  <c r="T46" i="35"/>
  <c r="H26" i="35"/>
  <c r="N47" i="35"/>
  <c r="N50" i="35" s="1"/>
  <c r="N51" i="35" s="1"/>
  <c r="D193" i="35"/>
  <c r="G163" i="35"/>
  <c r="H163" i="35" s="1"/>
  <c r="I163" i="35" s="1"/>
  <c r="R19" i="35"/>
  <c r="T22" i="35"/>
  <c r="H161" i="35"/>
  <c r="I161" i="35" s="1"/>
  <c r="M47" i="35"/>
  <c r="M50" i="35" s="1"/>
  <c r="M51" i="35" s="1"/>
  <c r="H71" i="35"/>
  <c r="H193" i="35" s="1"/>
  <c r="O47" i="35"/>
  <c r="O51" i="35" s="1"/>
  <c r="G45" i="35"/>
  <c r="G19" i="35"/>
  <c r="G47" i="35" s="1"/>
  <c r="G50" i="35" s="1"/>
  <c r="K47" i="35"/>
  <c r="K51" i="35" s="1"/>
  <c r="D47" i="35"/>
  <c r="D51" i="35" s="1"/>
  <c r="L47" i="35"/>
  <c r="L51" i="35" s="1"/>
  <c r="I193" i="35"/>
  <c r="R47" i="35"/>
  <c r="T47" i="35" s="1"/>
  <c r="V47" i="35" s="1"/>
  <c r="R193" i="35"/>
  <c r="R195" i="35" s="1"/>
  <c r="H28" i="35"/>
  <c r="H3" i="35"/>
  <c r="P46" i="34"/>
  <c r="P50" i="34" s="1"/>
  <c r="R19" i="34"/>
  <c r="R189" i="34"/>
  <c r="R191" i="34" s="1"/>
  <c r="E46" i="34"/>
  <c r="E50" i="34" s="1"/>
  <c r="H70" i="34"/>
  <c r="H189" i="34" s="1"/>
  <c r="I189" i="34"/>
  <c r="D189" i="34"/>
  <c r="K46" i="34"/>
  <c r="K50" i="34" s="1"/>
  <c r="D46" i="34"/>
  <c r="D50" i="34" s="1"/>
  <c r="L46" i="34"/>
  <c r="L50" i="34" s="1"/>
  <c r="G25" i="34"/>
  <c r="H20" i="34"/>
  <c r="H25" i="34" s="1"/>
  <c r="F46" i="34"/>
  <c r="F50" i="34" s="1"/>
  <c r="N46" i="34"/>
  <c r="N49" i="34" s="1"/>
  <c r="N50" i="34" s="1"/>
  <c r="O46" i="34"/>
  <c r="O50" i="34" s="1"/>
  <c r="M46" i="34"/>
  <c r="M49" i="34" s="1"/>
  <c r="M50" i="34" s="1"/>
  <c r="G19" i="34"/>
  <c r="H3" i="34"/>
  <c r="G44" i="34"/>
  <c r="H27" i="34"/>
  <c r="O189" i="34"/>
  <c r="H157" i="34"/>
  <c r="I157" i="34" s="1"/>
  <c r="G160" i="34"/>
  <c r="H160" i="34" s="1"/>
  <c r="I160" i="34" s="1"/>
  <c r="H42" i="33"/>
  <c r="I186" i="33"/>
  <c r="L43" i="33"/>
  <c r="L47" i="33" s="1"/>
  <c r="P43" i="33"/>
  <c r="P47" i="33" s="1"/>
  <c r="O183" i="33"/>
  <c r="O185" i="33" s="1"/>
  <c r="O187" i="33" s="1"/>
  <c r="O191" i="33" s="1"/>
  <c r="M43" i="33"/>
  <c r="E43" i="33"/>
  <c r="E47" i="33" s="1"/>
  <c r="I183" i="33"/>
  <c r="I187" i="33" s="1"/>
  <c r="P185" i="33"/>
  <c r="P187" i="33" s="1"/>
  <c r="P191" i="33" s="1"/>
  <c r="O43" i="33"/>
  <c r="O47" i="33" s="1"/>
  <c r="H23" i="33"/>
  <c r="K43" i="33"/>
  <c r="K47" i="33" s="1"/>
  <c r="N43" i="33"/>
  <c r="N46" i="33" s="1"/>
  <c r="N47" i="33" s="1"/>
  <c r="N186" i="33"/>
  <c r="N185" i="33" s="1"/>
  <c r="N187" i="33" s="1"/>
  <c r="F43" i="33"/>
  <c r="F47" i="33" s="1"/>
  <c r="H67" i="33"/>
  <c r="H183" i="33" s="1"/>
  <c r="H187" i="33" s="1"/>
  <c r="D183" i="33"/>
  <c r="D187" i="33" s="1"/>
  <c r="G23" i="33"/>
  <c r="G41" i="33"/>
  <c r="H186" i="33"/>
  <c r="L186" i="33"/>
  <c r="L183" i="33"/>
  <c r="H33" i="33"/>
  <c r="I33" i="33" s="1"/>
  <c r="I41" i="33" s="1"/>
  <c r="D43" i="33"/>
  <c r="D47" i="33" s="1"/>
  <c r="H17" i="33"/>
  <c r="G186" i="33"/>
  <c r="G185" i="33" s="1"/>
  <c r="G154" i="33"/>
  <c r="H154" i="33" s="1"/>
  <c r="I154" i="33" s="1"/>
  <c r="H151" i="33"/>
  <c r="I151" i="33" s="1"/>
  <c r="G153" i="33"/>
  <c r="H153" i="33" s="1"/>
  <c r="I153" i="33" s="1"/>
  <c r="M46" i="33"/>
  <c r="M47" i="33" s="1"/>
  <c r="I17" i="33"/>
  <c r="G187" i="33"/>
  <c r="G17" i="33"/>
  <c r="E187" i="33"/>
  <c r="E185" i="33"/>
  <c r="M185" i="33"/>
  <c r="M187" i="33" s="1"/>
  <c r="G191" i="33"/>
  <c r="F185" i="33"/>
  <c r="K185" i="33"/>
  <c r="H22" i="32"/>
  <c r="G150" i="32"/>
  <c r="H150" i="32" s="1"/>
  <c r="I150" i="32" s="1"/>
  <c r="O180" i="32"/>
  <c r="O182" i="32" s="1"/>
  <c r="O184" i="32" s="1"/>
  <c r="O188" i="32" s="1"/>
  <c r="H41" i="32"/>
  <c r="I183" i="32"/>
  <c r="M182" i="32"/>
  <c r="M184" i="32" s="1"/>
  <c r="K182" i="32"/>
  <c r="P42" i="32"/>
  <c r="P46" i="32" s="1"/>
  <c r="G17" i="32"/>
  <c r="F42" i="32"/>
  <c r="F46" i="32" s="1"/>
  <c r="N42" i="32"/>
  <c r="H66" i="32"/>
  <c r="H180" i="32" s="1"/>
  <c r="H184" i="32" s="1"/>
  <c r="F182" i="32"/>
  <c r="L183" i="32"/>
  <c r="L182" i="32" s="1"/>
  <c r="D42" i="32"/>
  <c r="D46" i="32" s="1"/>
  <c r="L42" i="32"/>
  <c r="L46" i="32" s="1"/>
  <c r="M42" i="32"/>
  <c r="M188" i="32"/>
  <c r="H187" i="32"/>
  <c r="H188" i="32" s="1"/>
  <c r="K42" i="32"/>
  <c r="K46" i="32" s="1"/>
  <c r="O42" i="32"/>
  <c r="O46" i="32" s="1"/>
  <c r="N183" i="32"/>
  <c r="N180" i="32"/>
  <c r="D183" i="32"/>
  <c r="D180" i="32"/>
  <c r="G184" i="32"/>
  <c r="E42" i="32"/>
  <c r="E46" i="32" s="1"/>
  <c r="G22" i="32"/>
  <c r="G40" i="32"/>
  <c r="H24" i="32"/>
  <c r="I180" i="32"/>
  <c r="H3" i="32"/>
  <c r="G183" i="32"/>
  <c r="G182" i="32" s="1"/>
  <c r="H72" i="32"/>
  <c r="H183" i="32" s="1"/>
  <c r="H148" i="32"/>
  <c r="I148" i="32" s="1"/>
  <c r="E182" i="32"/>
  <c r="O147" i="31"/>
  <c r="O184" i="31" s="1"/>
  <c r="O186" i="31" s="1"/>
  <c r="O191" i="31" s="1"/>
  <c r="K43" i="30"/>
  <c r="K47" i="30" s="1"/>
  <c r="O43" i="30"/>
  <c r="O47" i="30" s="1"/>
  <c r="P43" i="30"/>
  <c r="P47" i="30" s="1"/>
  <c r="M175" i="30"/>
  <c r="G41" i="30"/>
  <c r="G169" i="30"/>
  <c r="F168" i="30"/>
  <c r="H174" i="30"/>
  <c r="H175" i="30" s="1"/>
  <c r="I41" i="30"/>
  <c r="O166" i="30"/>
  <c r="O168" i="30" s="1"/>
  <c r="O170" i="30" s="1"/>
  <c r="O175" i="30" s="1"/>
  <c r="P184" i="31"/>
  <c r="P186" i="31" s="1"/>
  <c r="P191" i="31" s="1"/>
  <c r="O40" i="31"/>
  <c r="O42" i="31" s="1"/>
  <c r="O46" i="31" s="1"/>
  <c r="P40" i="31"/>
  <c r="P42" i="31" s="1"/>
  <c r="P46" i="31" s="1"/>
  <c r="P168" i="30"/>
  <c r="P170" i="30" s="1"/>
  <c r="P175" i="30" s="1"/>
  <c r="N42" i="31"/>
  <c r="I182" i="31"/>
  <c r="I186" i="31" s="1"/>
  <c r="H41" i="31"/>
  <c r="H190" i="31"/>
  <c r="H191" i="31" s="1"/>
  <c r="F42" i="31"/>
  <c r="F46" i="31" s="1"/>
  <c r="K42" i="31"/>
  <c r="K46" i="31" s="1"/>
  <c r="M184" i="31"/>
  <c r="M186" i="31" s="1"/>
  <c r="K184" i="31"/>
  <c r="F184" i="31"/>
  <c r="L185" i="31"/>
  <c r="L184" i="31" s="1"/>
  <c r="G150" i="31"/>
  <c r="H150" i="31" s="1"/>
  <c r="I150" i="31" s="1"/>
  <c r="L42" i="31"/>
  <c r="L46" i="31" s="1"/>
  <c r="D42" i="31"/>
  <c r="D46" i="31" s="1"/>
  <c r="M191" i="31"/>
  <c r="G21" i="31"/>
  <c r="H21" i="31"/>
  <c r="M42" i="31"/>
  <c r="H186" i="31"/>
  <c r="H17" i="31"/>
  <c r="I3" i="31"/>
  <c r="I17" i="31" s="1"/>
  <c r="G182" i="31"/>
  <c r="H57" i="31"/>
  <c r="H185" i="31" s="1"/>
  <c r="H184" i="31" s="1"/>
  <c r="G185" i="31"/>
  <c r="N185" i="31"/>
  <c r="G17" i="31"/>
  <c r="E42" i="31"/>
  <c r="E46" i="31" s="1"/>
  <c r="G40" i="31"/>
  <c r="H23" i="31"/>
  <c r="I185" i="31"/>
  <c r="D182" i="31"/>
  <c r="D185" i="31"/>
  <c r="H148" i="31"/>
  <c r="I148" i="31" s="1"/>
  <c r="E184" i="31"/>
  <c r="H23" i="30"/>
  <c r="H41" i="30"/>
  <c r="I166" i="30"/>
  <c r="H169" i="30"/>
  <c r="G17" i="30"/>
  <c r="G43" i="30" s="1"/>
  <c r="H3" i="30"/>
  <c r="D43" i="30"/>
  <c r="D47" i="30" s="1"/>
  <c r="G166" i="30"/>
  <c r="H52" i="30"/>
  <c r="H166" i="30" s="1"/>
  <c r="N169" i="30"/>
  <c r="N166" i="30"/>
  <c r="M46" i="30"/>
  <c r="M47" i="30" s="1"/>
  <c r="D166" i="30"/>
  <c r="L166" i="30"/>
  <c r="K168" i="30"/>
  <c r="H134" i="30"/>
  <c r="I134" i="30" s="1"/>
  <c r="E168" i="30"/>
  <c r="T26" i="35" l="1"/>
  <c r="V22" i="35"/>
  <c r="V26" i="35" s="1"/>
  <c r="G51" i="35"/>
  <c r="R51" i="35"/>
  <c r="T51" i="35"/>
  <c r="P51" i="35"/>
  <c r="T193" i="35"/>
  <c r="T195" i="35" s="1"/>
  <c r="V195" i="35" s="1"/>
  <c r="H19" i="35"/>
  <c r="I3" i="35"/>
  <c r="I19" i="35" s="1"/>
  <c r="I28" i="35"/>
  <c r="I45" i="35" s="1"/>
  <c r="H45" i="35"/>
  <c r="R46" i="34"/>
  <c r="R50" i="34" s="1"/>
  <c r="I27" i="34"/>
  <c r="I44" i="34" s="1"/>
  <c r="H44" i="34"/>
  <c r="I3" i="34"/>
  <c r="I19" i="34" s="1"/>
  <c r="H19" i="34"/>
  <c r="G46" i="34"/>
  <c r="M45" i="32"/>
  <c r="M46" i="32" s="1"/>
  <c r="I185" i="33"/>
  <c r="H185" i="33"/>
  <c r="D185" i="33"/>
  <c r="H41" i="33"/>
  <c r="H43" i="33" s="1"/>
  <c r="H46" i="33" s="1"/>
  <c r="G43" i="33"/>
  <c r="G47" i="33" s="1"/>
  <c r="L187" i="33"/>
  <c r="L185" i="33"/>
  <c r="I43" i="33"/>
  <c r="H182" i="32"/>
  <c r="H17" i="32"/>
  <c r="I3" i="32"/>
  <c r="I17" i="32" s="1"/>
  <c r="I24" i="32"/>
  <c r="I40" i="32" s="1"/>
  <c r="H40" i="32"/>
  <c r="I184" i="32"/>
  <c r="I182" i="32"/>
  <c r="G42" i="32"/>
  <c r="D184" i="32"/>
  <c r="D182" i="32"/>
  <c r="N182" i="32"/>
  <c r="N184" i="32" s="1"/>
  <c r="N188" i="32"/>
  <c r="N45" i="32" s="1"/>
  <c r="N46" i="32" s="1"/>
  <c r="I184" i="31"/>
  <c r="M45" i="31"/>
  <c r="M46" i="31" s="1"/>
  <c r="I23" i="31"/>
  <c r="I40" i="31" s="1"/>
  <c r="I42" i="31" s="1"/>
  <c r="H40" i="31"/>
  <c r="H42" i="31" s="1"/>
  <c r="G186" i="31"/>
  <c r="G184" i="31"/>
  <c r="D186" i="31"/>
  <c r="D184" i="31"/>
  <c r="N184" i="31"/>
  <c r="N186" i="31" s="1"/>
  <c r="N191" i="31"/>
  <c r="N45" i="31" s="1"/>
  <c r="N46" i="31" s="1"/>
  <c r="G42" i="31"/>
  <c r="D170" i="30"/>
  <c r="D168" i="30"/>
  <c r="H170" i="30"/>
  <c r="H168" i="30"/>
  <c r="G47" i="30"/>
  <c r="G46" i="30"/>
  <c r="G170" i="30"/>
  <c r="G168" i="30"/>
  <c r="L170" i="30"/>
  <c r="L168" i="30"/>
  <c r="H17" i="30"/>
  <c r="H43" i="30" s="1"/>
  <c r="I3" i="30"/>
  <c r="I17" i="30" s="1"/>
  <c r="I43" i="30" s="1"/>
  <c r="N168" i="30"/>
  <c r="N170" i="30" s="1"/>
  <c r="N175" i="30"/>
  <c r="N46" i="30" s="1"/>
  <c r="N47" i="30" s="1"/>
  <c r="I170" i="30"/>
  <c r="I168" i="30"/>
  <c r="I47" i="35" l="1"/>
  <c r="H47" i="35"/>
  <c r="H46" i="34"/>
  <c r="H50" i="34" s="1"/>
  <c r="I46" i="34"/>
  <c r="I49" i="34" s="1"/>
  <c r="G50" i="34"/>
  <c r="G49" i="34"/>
  <c r="H47" i="33"/>
  <c r="G46" i="33"/>
  <c r="I47" i="33"/>
  <c r="I46" i="33"/>
  <c r="I42" i="32"/>
  <c r="G46" i="32"/>
  <c r="G45" i="32"/>
  <c r="H42" i="32"/>
  <c r="H46" i="31"/>
  <c r="H45" i="31"/>
  <c r="I46" i="31"/>
  <c r="I45" i="31"/>
  <c r="G46" i="31"/>
  <c r="G45" i="31"/>
  <c r="I47" i="30"/>
  <c r="I46" i="30"/>
  <c r="H47" i="30"/>
  <c r="H46" i="30"/>
  <c r="P41" i="29"/>
  <c r="O133" i="29"/>
  <c r="O132" i="29"/>
  <c r="P42" i="29"/>
  <c r="O42" i="29"/>
  <c r="N42" i="29"/>
  <c r="P23" i="29"/>
  <c r="O23" i="29"/>
  <c r="P17" i="29"/>
  <c r="O17" i="29"/>
  <c r="P166" i="29"/>
  <c r="M169" i="29"/>
  <c r="N58" i="29"/>
  <c r="M166" i="29"/>
  <c r="M175" i="29" s="1"/>
  <c r="N41" i="29"/>
  <c r="M41" i="29"/>
  <c r="N23" i="29"/>
  <c r="M23" i="29"/>
  <c r="N17" i="29"/>
  <c r="M17" i="29"/>
  <c r="L174" i="29"/>
  <c r="K174" i="29"/>
  <c r="K175" i="29" s="1"/>
  <c r="I174" i="29"/>
  <c r="G174" i="29"/>
  <c r="H174" i="29" s="1"/>
  <c r="D174" i="29"/>
  <c r="K169" i="29"/>
  <c r="F169" i="29"/>
  <c r="E169" i="29"/>
  <c r="K166" i="29"/>
  <c r="K170" i="29" s="1"/>
  <c r="J166" i="29"/>
  <c r="F166" i="29"/>
  <c r="F170" i="29" s="1"/>
  <c r="F175" i="29" s="1"/>
  <c r="E166" i="29"/>
  <c r="E170" i="29" s="1"/>
  <c r="E175" i="29" s="1"/>
  <c r="G165" i="29"/>
  <c r="H165" i="29" s="1"/>
  <c r="I165" i="29" s="1"/>
  <c r="G164" i="29"/>
  <c r="H164" i="29" s="1"/>
  <c r="I164" i="29" s="1"/>
  <c r="G163" i="29"/>
  <c r="H163" i="29" s="1"/>
  <c r="I163" i="29" s="1"/>
  <c r="I162" i="29"/>
  <c r="G162" i="29"/>
  <c r="H162" i="29" s="1"/>
  <c r="I160" i="29"/>
  <c r="G160" i="29"/>
  <c r="H160" i="29" s="1"/>
  <c r="G158" i="29"/>
  <c r="H158" i="29" s="1"/>
  <c r="I158" i="29" s="1"/>
  <c r="G157" i="29"/>
  <c r="H157" i="29" s="1"/>
  <c r="I157" i="29" s="1"/>
  <c r="G156" i="29"/>
  <c r="H156" i="29" s="1"/>
  <c r="I156" i="29" s="1"/>
  <c r="G155" i="29"/>
  <c r="H155" i="29" s="1"/>
  <c r="I155" i="29" s="1"/>
  <c r="G154" i="29"/>
  <c r="H154" i="29" s="1"/>
  <c r="I154" i="29" s="1"/>
  <c r="G153" i="29"/>
  <c r="H153" i="29" s="1"/>
  <c r="I153" i="29" s="1"/>
  <c r="G151" i="29"/>
  <c r="H151" i="29" s="1"/>
  <c r="I151" i="29" s="1"/>
  <c r="G150" i="29"/>
  <c r="H150" i="29" s="1"/>
  <c r="I150" i="29" s="1"/>
  <c r="G149" i="29"/>
  <c r="H149" i="29" s="1"/>
  <c r="I149" i="29" s="1"/>
  <c r="G148" i="29"/>
  <c r="H148" i="29" s="1"/>
  <c r="I148" i="29" s="1"/>
  <c r="G147" i="29"/>
  <c r="H147" i="29" s="1"/>
  <c r="I147" i="29" s="1"/>
  <c r="G146" i="29"/>
  <c r="H146" i="29" s="1"/>
  <c r="I146" i="29" s="1"/>
  <c r="G145" i="29"/>
  <c r="H145" i="29" s="1"/>
  <c r="I145" i="29" s="1"/>
  <c r="G144" i="29"/>
  <c r="H144" i="29" s="1"/>
  <c r="I144" i="29" s="1"/>
  <c r="G143" i="29"/>
  <c r="H143" i="29" s="1"/>
  <c r="I143" i="29" s="1"/>
  <c r="G142" i="29"/>
  <c r="H142" i="29" s="1"/>
  <c r="I142" i="29" s="1"/>
  <c r="G141" i="29"/>
  <c r="H141" i="29" s="1"/>
  <c r="I141" i="29" s="1"/>
  <c r="G140" i="29"/>
  <c r="H140" i="29" s="1"/>
  <c r="I140" i="29" s="1"/>
  <c r="G139" i="29"/>
  <c r="H139" i="29" s="1"/>
  <c r="I139" i="29" s="1"/>
  <c r="G138" i="29"/>
  <c r="H138" i="29" s="1"/>
  <c r="I138" i="29" s="1"/>
  <c r="G135" i="29"/>
  <c r="H135" i="29" s="1"/>
  <c r="I135" i="29" s="1"/>
  <c r="G134" i="29"/>
  <c r="G136" i="29" s="1"/>
  <c r="H136" i="29" s="1"/>
  <c r="I136" i="29" s="1"/>
  <c r="H132" i="29"/>
  <c r="I132" i="29" s="1"/>
  <c r="G131" i="29"/>
  <c r="H131" i="29" s="1"/>
  <c r="I131" i="29" s="1"/>
  <c r="G130" i="29"/>
  <c r="H130" i="29" s="1"/>
  <c r="I130" i="29" s="1"/>
  <c r="G128" i="29"/>
  <c r="H128" i="29" s="1"/>
  <c r="I128" i="29" s="1"/>
  <c r="D128" i="29"/>
  <c r="I127" i="29"/>
  <c r="G127" i="29"/>
  <c r="H127" i="29" s="1"/>
  <c r="G125" i="29"/>
  <c r="H125" i="29" s="1"/>
  <c r="I125" i="29" s="1"/>
  <c r="G124" i="29"/>
  <c r="H124" i="29" s="1"/>
  <c r="I124" i="29" s="1"/>
  <c r="G123" i="29"/>
  <c r="H123" i="29" s="1"/>
  <c r="I123" i="29" s="1"/>
  <c r="G122" i="29"/>
  <c r="H122" i="29" s="1"/>
  <c r="I122" i="29" s="1"/>
  <c r="G121" i="29"/>
  <c r="H121" i="29" s="1"/>
  <c r="I121" i="29" s="1"/>
  <c r="G120" i="29"/>
  <c r="H120" i="29" s="1"/>
  <c r="I120" i="29" s="1"/>
  <c r="G119" i="29"/>
  <c r="H119" i="29" s="1"/>
  <c r="I119" i="29" s="1"/>
  <c r="I117" i="29"/>
  <c r="G117" i="29"/>
  <c r="H117" i="29" s="1"/>
  <c r="I116" i="29"/>
  <c r="G116" i="29"/>
  <c r="H116" i="29" s="1"/>
  <c r="L115" i="29"/>
  <c r="I115" i="29"/>
  <c r="G115" i="29"/>
  <c r="H115" i="29" s="1"/>
  <c r="G114" i="29"/>
  <c r="H114" i="29" s="1"/>
  <c r="I114" i="29" s="1"/>
  <c r="G113" i="29"/>
  <c r="H113" i="29" s="1"/>
  <c r="I113" i="29" s="1"/>
  <c r="H112" i="29"/>
  <c r="I112" i="29" s="1"/>
  <c r="H111" i="29"/>
  <c r="I111" i="29" s="1"/>
  <c r="G110" i="29"/>
  <c r="H110" i="29" s="1"/>
  <c r="I110" i="29" s="1"/>
  <c r="G109" i="29"/>
  <c r="H109" i="29" s="1"/>
  <c r="I109" i="29" s="1"/>
  <c r="G108" i="29"/>
  <c r="H108" i="29" s="1"/>
  <c r="I108" i="29" s="1"/>
  <c r="G107" i="29"/>
  <c r="H107" i="29" s="1"/>
  <c r="I107" i="29" s="1"/>
  <c r="L104" i="29"/>
  <c r="L166" i="29" s="1"/>
  <c r="L170" i="29" s="1"/>
  <c r="G104" i="29"/>
  <c r="H104" i="29" s="1"/>
  <c r="G102" i="29"/>
  <c r="H102" i="29" s="1"/>
  <c r="I102" i="29" s="1"/>
  <c r="G101" i="29"/>
  <c r="H101" i="29" s="1"/>
  <c r="I101" i="29" s="1"/>
  <c r="I100" i="29"/>
  <c r="H100" i="29"/>
  <c r="G99" i="29"/>
  <c r="H99" i="29" s="1"/>
  <c r="I99" i="29" s="1"/>
  <c r="H98" i="29"/>
  <c r="I98" i="29" s="1"/>
  <c r="G96" i="29"/>
  <c r="H96" i="29" s="1"/>
  <c r="I96" i="29" s="1"/>
  <c r="I95" i="29"/>
  <c r="G95" i="29"/>
  <c r="H95" i="29" s="1"/>
  <c r="H93" i="29"/>
  <c r="I93" i="29" s="1"/>
  <c r="H92" i="29"/>
  <c r="I92" i="29" s="1"/>
  <c r="G91" i="29"/>
  <c r="H91" i="29" s="1"/>
  <c r="I91" i="29" s="1"/>
  <c r="G90" i="29"/>
  <c r="H90" i="29" s="1"/>
  <c r="I90" i="29" s="1"/>
  <c r="H89" i="29"/>
  <c r="I89" i="29" s="1"/>
  <c r="G88" i="29"/>
  <c r="H88" i="29" s="1"/>
  <c r="I88" i="29" s="1"/>
  <c r="I86" i="29"/>
  <c r="G86" i="29"/>
  <c r="H86" i="29" s="1"/>
  <c r="I83" i="29"/>
  <c r="H83" i="29"/>
  <c r="D83" i="29"/>
  <c r="D169" i="29" s="1"/>
  <c r="I82" i="29"/>
  <c r="G82" i="29"/>
  <c r="H82" i="29" s="1"/>
  <c r="G79" i="29"/>
  <c r="H79" i="29" s="1"/>
  <c r="G78" i="29"/>
  <c r="H78" i="29" s="1"/>
  <c r="G77" i="29"/>
  <c r="H77" i="29" s="1"/>
  <c r="G76" i="29"/>
  <c r="H76" i="29" s="1"/>
  <c r="G75" i="29"/>
  <c r="H75" i="29" s="1"/>
  <c r="I74" i="29"/>
  <c r="G74" i="29"/>
  <c r="H74" i="29" s="1"/>
  <c r="G73" i="29"/>
  <c r="H73" i="29" s="1"/>
  <c r="I73" i="29" s="1"/>
  <c r="G71" i="29"/>
  <c r="H71" i="29" s="1"/>
  <c r="I71" i="29" s="1"/>
  <c r="G70" i="29"/>
  <c r="H70" i="29" s="1"/>
  <c r="I70" i="29" s="1"/>
  <c r="G69" i="29"/>
  <c r="H69" i="29" s="1"/>
  <c r="I69" i="29" s="1"/>
  <c r="G68" i="29"/>
  <c r="H68" i="29" s="1"/>
  <c r="I68" i="29" s="1"/>
  <c r="G67" i="29"/>
  <c r="H67" i="29" s="1"/>
  <c r="I67" i="29" s="1"/>
  <c r="G66" i="29"/>
  <c r="H66" i="29" s="1"/>
  <c r="I66" i="29" s="1"/>
  <c r="G65" i="29"/>
  <c r="H65" i="29" s="1"/>
  <c r="I65" i="29" s="1"/>
  <c r="G64" i="29"/>
  <c r="H64" i="29" s="1"/>
  <c r="I64" i="29" s="1"/>
  <c r="H63" i="29"/>
  <c r="I63" i="29" s="1"/>
  <c r="G62" i="29"/>
  <c r="H62" i="29" s="1"/>
  <c r="I62" i="29" s="1"/>
  <c r="G61" i="29"/>
  <c r="H61" i="29" s="1"/>
  <c r="I61" i="29" s="1"/>
  <c r="G60" i="29"/>
  <c r="H60" i="29" s="1"/>
  <c r="I60" i="29" s="1"/>
  <c r="H59" i="29"/>
  <c r="I59" i="29" s="1"/>
  <c r="I58" i="29"/>
  <c r="G58" i="29"/>
  <c r="H58" i="29" s="1"/>
  <c r="G57" i="29"/>
  <c r="H57" i="29" s="1"/>
  <c r="I57" i="29" s="1"/>
  <c r="G54" i="29"/>
  <c r="H54" i="29" s="1"/>
  <c r="I54" i="29" s="1"/>
  <c r="H53" i="29"/>
  <c r="G52" i="29"/>
  <c r="H52" i="29" s="1"/>
  <c r="H166" i="29" s="1"/>
  <c r="F46" i="29"/>
  <c r="D46" i="29"/>
  <c r="I42" i="29"/>
  <c r="G42" i="29"/>
  <c r="F42" i="29"/>
  <c r="E42" i="29"/>
  <c r="D42" i="29"/>
  <c r="L41" i="29"/>
  <c r="K41" i="29"/>
  <c r="F41" i="29"/>
  <c r="E41" i="29"/>
  <c r="D41" i="29"/>
  <c r="G40" i="29"/>
  <c r="H40" i="29" s="1"/>
  <c r="I40" i="29" s="1"/>
  <c r="H38" i="29"/>
  <c r="I38" i="29" s="1"/>
  <c r="G37" i="29"/>
  <c r="H37" i="29" s="1"/>
  <c r="I37" i="29" s="1"/>
  <c r="G36" i="29"/>
  <c r="H36" i="29" s="1"/>
  <c r="I36" i="29" s="1"/>
  <c r="H35" i="29"/>
  <c r="I35" i="29" s="1"/>
  <c r="H34" i="29"/>
  <c r="G33" i="29"/>
  <c r="H33" i="29" s="1"/>
  <c r="I33" i="29" s="1"/>
  <c r="G31" i="29"/>
  <c r="H31" i="29" s="1"/>
  <c r="I31" i="29" s="1"/>
  <c r="H29" i="29"/>
  <c r="I29" i="29" s="1"/>
  <c r="G28" i="29"/>
  <c r="H28" i="29" s="1"/>
  <c r="G26" i="29"/>
  <c r="H26" i="29" s="1"/>
  <c r="I26" i="29" s="1"/>
  <c r="G25" i="29"/>
  <c r="H25" i="29" s="1"/>
  <c r="I25" i="29" s="1"/>
  <c r="L23" i="29"/>
  <c r="K23" i="29"/>
  <c r="F23" i="29"/>
  <c r="E23" i="29"/>
  <c r="D23" i="29"/>
  <c r="H22" i="29"/>
  <c r="G20" i="29"/>
  <c r="H20" i="29" s="1"/>
  <c r="I20" i="29" s="1"/>
  <c r="I23" i="29" s="1"/>
  <c r="G18" i="29"/>
  <c r="H18" i="29" s="1"/>
  <c r="L17" i="29"/>
  <c r="K17" i="29"/>
  <c r="F17" i="29"/>
  <c r="E17" i="29"/>
  <c r="D17" i="29"/>
  <c r="G16" i="29"/>
  <c r="H16" i="29" s="1"/>
  <c r="I16" i="29" s="1"/>
  <c r="G15" i="29"/>
  <c r="H15" i="29" s="1"/>
  <c r="I15" i="29" s="1"/>
  <c r="G14" i="29"/>
  <c r="H14" i="29" s="1"/>
  <c r="I14" i="29" s="1"/>
  <c r="G12" i="29"/>
  <c r="H12" i="29" s="1"/>
  <c r="I12" i="29" s="1"/>
  <c r="G11" i="29"/>
  <c r="H11" i="29" s="1"/>
  <c r="I11" i="29" s="1"/>
  <c r="G10" i="29"/>
  <c r="H10" i="29" s="1"/>
  <c r="I10" i="29" s="1"/>
  <c r="G9" i="29"/>
  <c r="H9" i="29" s="1"/>
  <c r="I9" i="29" s="1"/>
  <c r="G8" i="29"/>
  <c r="H8" i="29" s="1"/>
  <c r="I8" i="29" s="1"/>
  <c r="G6" i="29"/>
  <c r="H6" i="29" s="1"/>
  <c r="I6" i="29" s="1"/>
  <c r="G5" i="29"/>
  <c r="H5" i="29" s="1"/>
  <c r="H4" i="29"/>
  <c r="I4" i="29" s="1"/>
  <c r="G3" i="29"/>
  <c r="H3" i="29" s="1"/>
  <c r="I3" i="29" s="1"/>
  <c r="M89" i="18"/>
  <c r="Q27" i="18"/>
  <c r="N27" i="18"/>
  <c r="R27" i="18"/>
  <c r="M113" i="18"/>
  <c r="O108" i="18"/>
  <c r="O111" i="18" s="1"/>
  <c r="M111" i="18"/>
  <c r="K24" i="18"/>
  <c r="M42" i="18"/>
  <c r="M43" i="18"/>
  <c r="M44" i="18" s="1"/>
  <c r="M45" i="18" s="1"/>
  <c r="F4" i="24"/>
  <c r="F8" i="24"/>
  <c r="F11" i="24" s="1"/>
  <c r="F13" i="24" s="1"/>
  <c r="F14" i="24" s="1"/>
  <c r="F15" i="24" s="1"/>
  <c r="C12" i="25"/>
  <c r="I5" i="25"/>
  <c r="I6" i="25"/>
  <c r="I7" i="25"/>
  <c r="I8" i="25"/>
  <c r="I9" i="25"/>
  <c r="I10" i="25"/>
  <c r="I11" i="25"/>
  <c r="I13" i="25"/>
  <c r="I15" i="25" s="1"/>
  <c r="I14" i="25"/>
  <c r="I4" i="25"/>
  <c r="E18" i="25"/>
  <c r="H18" i="25" s="1"/>
  <c r="E19" i="25"/>
  <c r="H19" i="25"/>
  <c r="E20" i="25"/>
  <c r="H20" i="25" s="1"/>
  <c r="E21" i="25"/>
  <c r="H21" i="25" s="1"/>
  <c r="E22" i="25"/>
  <c r="H22" i="25" s="1"/>
  <c r="E17" i="25"/>
  <c r="H17" i="25" s="1"/>
  <c r="E14" i="25"/>
  <c r="H14" i="25" s="1"/>
  <c r="E13" i="25"/>
  <c r="H13" i="25" s="1"/>
  <c r="H15" i="25" s="1"/>
  <c r="E3" i="25"/>
  <c r="E4" i="25"/>
  <c r="H4" i="25" s="1"/>
  <c r="E5" i="25"/>
  <c r="H5" i="25" s="1"/>
  <c r="E6" i="25"/>
  <c r="H6" i="25"/>
  <c r="E7" i="25"/>
  <c r="H7" i="25" s="1"/>
  <c r="E8" i="25"/>
  <c r="H8" i="25"/>
  <c r="E9" i="25"/>
  <c r="H9" i="25" s="1"/>
  <c r="E10" i="25"/>
  <c r="H10" i="25"/>
  <c r="E11" i="25"/>
  <c r="H11" i="25" s="1"/>
  <c r="E2" i="25"/>
  <c r="B18" i="24"/>
  <c r="E3" i="24"/>
  <c r="E4" i="24"/>
  <c r="E11" i="24" s="1"/>
  <c r="E13" i="24" s="1"/>
  <c r="E14" i="24" s="1"/>
  <c r="E15" i="24" s="1"/>
  <c r="D4" i="24"/>
  <c r="D11" i="24" s="1"/>
  <c r="D13" i="24" s="1"/>
  <c r="D14" i="24" s="1"/>
  <c r="D15" i="24" s="1"/>
  <c r="C3" i="24"/>
  <c r="C11" i="24" s="1"/>
  <c r="C13" i="24" s="1"/>
  <c r="C14" i="24" s="1"/>
  <c r="C15" i="24" s="1"/>
  <c r="B4" i="24"/>
  <c r="B11" i="24" s="1"/>
  <c r="B13" i="24" s="1"/>
  <c r="B14" i="24" s="1"/>
  <c r="B15" i="24" s="1"/>
  <c r="B6" i="24"/>
  <c r="E5" i="16"/>
  <c r="E19" i="16" s="1"/>
  <c r="J19" i="14"/>
  <c r="K19" i="14"/>
  <c r="K11" i="14"/>
  <c r="D9" i="16"/>
  <c r="D15" i="16"/>
  <c r="D14" i="16"/>
  <c r="D5" i="16"/>
  <c r="D10" i="16"/>
  <c r="D27" i="16"/>
  <c r="D24" i="16"/>
  <c r="D17" i="16"/>
  <c r="O14" i="16"/>
  <c r="Q14" i="16"/>
  <c r="J11" i="14"/>
  <c r="X3" i="14"/>
  <c r="X4" i="14"/>
  <c r="X5" i="14"/>
  <c r="X6" i="14"/>
  <c r="X7" i="14"/>
  <c r="X8" i="14"/>
  <c r="X9" i="14"/>
  <c r="X10" i="14"/>
  <c r="Y16" i="14"/>
  <c r="Z16" i="14"/>
  <c r="Y17" i="14"/>
  <c r="Z17" i="14"/>
  <c r="Y18" i="14"/>
  <c r="Z18" i="14"/>
  <c r="Z15" i="14"/>
  <c r="Y15" i="14"/>
  <c r="Y19" i="14" s="1"/>
  <c r="Y4" i="14"/>
  <c r="Z4" i="14"/>
  <c r="Y5" i="14"/>
  <c r="Z5" i="14"/>
  <c r="Y6" i="14"/>
  <c r="Z6" i="14"/>
  <c r="Y7" i="14"/>
  <c r="Z7" i="14"/>
  <c r="Y8" i="14"/>
  <c r="Z8" i="14"/>
  <c r="Y9" i="14"/>
  <c r="Z9" i="14"/>
  <c r="Y10" i="14"/>
  <c r="Z10" i="14"/>
  <c r="Z3" i="14"/>
  <c r="Z11" i="14" s="1"/>
  <c r="Y3" i="14"/>
  <c r="X16" i="14"/>
  <c r="X17" i="14"/>
  <c r="X19" i="14" s="1"/>
  <c r="X22" i="14" s="1"/>
  <c r="X18" i="14"/>
  <c r="X15" i="14"/>
  <c r="W16" i="14"/>
  <c r="W17" i="14"/>
  <c r="W18" i="14"/>
  <c r="W15" i="14"/>
  <c r="W4" i="14"/>
  <c r="W5" i="14"/>
  <c r="W6" i="14"/>
  <c r="W7" i="14"/>
  <c r="W8" i="14"/>
  <c r="W9" i="14"/>
  <c r="W10" i="14"/>
  <c r="W3" i="14"/>
  <c r="I11" i="14"/>
  <c r="I12" i="14" s="1"/>
  <c r="I19" i="14"/>
  <c r="H11" i="14"/>
  <c r="N3" i="14"/>
  <c r="Q3" i="14"/>
  <c r="P3" i="14" s="1"/>
  <c r="N4" i="14"/>
  <c r="Q4" i="14" s="1"/>
  <c r="P4" i="14" s="1"/>
  <c r="O5" i="14"/>
  <c r="N5" i="14"/>
  <c r="P5" i="14" s="1"/>
  <c r="O6" i="14"/>
  <c r="N6" i="14"/>
  <c r="P6" i="14" s="1"/>
  <c r="O7" i="14"/>
  <c r="N7" i="14"/>
  <c r="P7" i="14" s="1"/>
  <c r="O8" i="14"/>
  <c r="N8" i="14"/>
  <c r="P8" i="14" s="1"/>
  <c r="O9" i="14"/>
  <c r="N9" i="14"/>
  <c r="P9" i="14" s="1"/>
  <c r="O10" i="14"/>
  <c r="N10" i="14"/>
  <c r="P10" i="14" s="1"/>
  <c r="X14" i="14"/>
  <c r="Y14" i="14"/>
  <c r="Z14" i="14"/>
  <c r="W14" i="14"/>
  <c r="N15" i="14"/>
  <c r="N16" i="14"/>
  <c r="N17" i="14"/>
  <c r="N18" i="14"/>
  <c r="E18" i="16"/>
  <c r="F7" i="16"/>
  <c r="F9" i="16"/>
  <c r="F10" i="16"/>
  <c r="F12" i="16"/>
  <c r="F18" i="16"/>
  <c r="F5" i="16"/>
  <c r="F19" i="16" s="1"/>
  <c r="F11" i="16"/>
  <c r="F6" i="16"/>
  <c r="F13" i="16"/>
  <c r="F15" i="16"/>
  <c r="F16" i="16"/>
  <c r="E16" i="16"/>
  <c r="K26" i="16" s="1"/>
  <c r="K25" i="16"/>
  <c r="O21" i="16"/>
  <c r="P22" i="16" s="1"/>
  <c r="O22" i="16"/>
  <c r="O9" i="16"/>
  <c r="P12" i="16" s="1"/>
  <c r="C13" i="9"/>
  <c r="E13" i="9"/>
  <c r="G13" i="9"/>
  <c r="I13" i="9" s="1"/>
  <c r="F13" i="9"/>
  <c r="D13" i="9"/>
  <c r="C11" i="9"/>
  <c r="D11" i="9"/>
  <c r="E11" i="9"/>
  <c r="F11" i="9"/>
  <c r="G14" i="9"/>
  <c r="I14" i="9" s="1"/>
  <c r="J14" i="9" s="1"/>
  <c r="J15" i="9"/>
  <c r="K15" i="9" s="1"/>
  <c r="G12" i="9"/>
  <c r="I12" i="9" s="1"/>
  <c r="J12" i="9" s="1"/>
  <c r="K12" i="9" s="1"/>
  <c r="L12" i="9" s="1"/>
  <c r="B10" i="9"/>
  <c r="D10" i="9" s="1"/>
  <c r="C4" i="9"/>
  <c r="E4" i="9"/>
  <c r="G4" i="9"/>
  <c r="I4" i="9" s="1"/>
  <c r="J5" i="9"/>
  <c r="K5" i="9" s="1"/>
  <c r="J6" i="9"/>
  <c r="J7" i="9"/>
  <c r="K7" i="9"/>
  <c r="J8" i="9"/>
  <c r="K8" i="9" s="1"/>
  <c r="C3" i="9"/>
  <c r="D3" i="9"/>
  <c r="E3" i="9"/>
  <c r="G3" i="9"/>
  <c r="F3" i="9"/>
  <c r="H3" i="9"/>
  <c r="H9" i="9" s="1"/>
  <c r="E10" i="16"/>
  <c r="E11" i="16"/>
  <c r="M25" i="16"/>
  <c r="M56" i="16"/>
  <c r="N35" i="21"/>
  <c r="N3" i="21"/>
  <c r="N4" i="21"/>
  <c r="N5" i="21"/>
  <c r="N6" i="21"/>
  <c r="N8" i="21"/>
  <c r="N9" i="21"/>
  <c r="N10" i="21"/>
  <c r="N11" i="21"/>
  <c r="N12" i="21"/>
  <c r="N13" i="21"/>
  <c r="N14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29" i="21"/>
  <c r="N30" i="21"/>
  <c r="I4" i="21"/>
  <c r="I6" i="21"/>
  <c r="I9" i="21"/>
  <c r="I13" i="21"/>
  <c r="I19" i="21"/>
  <c r="H4" i="21"/>
  <c r="H6" i="21"/>
  <c r="H9" i="21"/>
  <c r="H13" i="21"/>
  <c r="H19" i="21"/>
  <c r="G4" i="21"/>
  <c r="G6" i="21"/>
  <c r="G9" i="21"/>
  <c r="G13" i="21"/>
  <c r="G19" i="21"/>
  <c r="C4" i="21"/>
  <c r="C6" i="21"/>
  <c r="C26" i="21" s="1"/>
  <c r="C9" i="21"/>
  <c r="C13" i="21"/>
  <c r="C19" i="21"/>
  <c r="I25" i="21"/>
  <c r="H25" i="21"/>
  <c r="G25" i="21"/>
  <c r="C25" i="21"/>
  <c r="C7" i="16"/>
  <c r="L2" i="16"/>
  <c r="L25" i="16"/>
  <c r="L56" i="16" s="1"/>
  <c r="O15" i="16"/>
  <c r="P15" i="16" s="1"/>
  <c r="O20" i="16"/>
  <c r="P20" i="16" s="1"/>
  <c r="D19" i="19"/>
  <c r="D20" i="19"/>
  <c r="E20" i="19" s="1"/>
  <c r="D21" i="19"/>
  <c r="E21" i="19"/>
  <c r="D22" i="19"/>
  <c r="E22" i="19"/>
  <c r="D24" i="19"/>
  <c r="E24" i="19"/>
  <c r="C25" i="19"/>
  <c r="F23" i="19"/>
  <c r="G16" i="19"/>
  <c r="G19" i="19"/>
  <c r="G20" i="19"/>
  <c r="F24" i="19"/>
  <c r="B25" i="19"/>
  <c r="G22" i="19"/>
  <c r="H22" i="19" s="1"/>
  <c r="G21" i="19"/>
  <c r="H21" i="19" s="1"/>
  <c r="D14" i="19"/>
  <c r="E14" i="19" s="1"/>
  <c r="G14" i="19"/>
  <c r="H14" i="19" s="1"/>
  <c r="E15" i="19"/>
  <c r="I15" i="19" s="1"/>
  <c r="G15" i="19"/>
  <c r="H15" i="19"/>
  <c r="D16" i="19"/>
  <c r="H16" i="19"/>
  <c r="F17" i="19"/>
  <c r="C17" i="19"/>
  <c r="B17" i="19"/>
  <c r="P39" i="16"/>
  <c r="E7" i="16"/>
  <c r="O13" i="16"/>
  <c r="P13" i="16" s="1"/>
  <c r="O18" i="16"/>
  <c r="P18" i="16" s="1"/>
  <c r="R24" i="16"/>
  <c r="Q19" i="16"/>
  <c r="R19" i="16" s="1"/>
  <c r="E12" i="16"/>
  <c r="Q16" i="16"/>
  <c r="Q17" i="16"/>
  <c r="Q10" i="16"/>
  <c r="R12" i="16"/>
  <c r="Q11" i="16"/>
  <c r="Q12" i="16"/>
  <c r="Q2" i="16"/>
  <c r="R3" i="16"/>
  <c r="Q3" i="16"/>
  <c r="B6" i="22"/>
  <c r="B7" i="22"/>
  <c r="B8" i="22"/>
  <c r="B13" i="22" s="1"/>
  <c r="B30" i="22" s="1"/>
  <c r="B9" i="22"/>
  <c r="B21" i="22"/>
  <c r="B22" i="22"/>
  <c r="B23" i="22"/>
  <c r="B26" i="22"/>
  <c r="B44" i="22"/>
  <c r="E18" i="22"/>
  <c r="E31" i="22"/>
  <c r="E46" i="22" s="1"/>
  <c r="E42" i="22"/>
  <c r="E44" i="22"/>
  <c r="P40" i="16"/>
  <c r="P42" i="16"/>
  <c r="P41" i="16"/>
  <c r="P43" i="16"/>
  <c r="K32" i="16"/>
  <c r="P32" i="16"/>
  <c r="K31" i="16"/>
  <c r="P31" i="16"/>
  <c r="K33" i="16"/>
  <c r="P33" i="16" s="1"/>
  <c r="K36" i="16"/>
  <c r="P36" i="16" s="1"/>
  <c r="P37" i="16"/>
  <c r="P35" i="16"/>
  <c r="P38" i="16"/>
  <c r="K34" i="16"/>
  <c r="P34" i="16"/>
  <c r="K49" i="16"/>
  <c r="P49" i="16"/>
  <c r="P48" i="16"/>
  <c r="K47" i="16"/>
  <c r="P47" i="16" s="1"/>
  <c r="P45" i="16"/>
  <c r="K46" i="16"/>
  <c r="P46" i="16" s="1"/>
  <c r="K44" i="16"/>
  <c r="P44" i="16" s="1"/>
  <c r="P51" i="16"/>
  <c r="P54" i="16"/>
  <c r="P52" i="16"/>
  <c r="P50" i="16"/>
  <c r="O6" i="16"/>
  <c r="O4" i="16"/>
  <c r="P8" i="16" s="1"/>
  <c r="O5" i="16"/>
  <c r="O2" i="16"/>
  <c r="P3" i="16" s="1"/>
  <c r="Q55" i="16"/>
  <c r="B68" i="20"/>
  <c r="E17" i="16"/>
  <c r="F17" i="16"/>
  <c r="V15" i="14"/>
  <c r="V16" i="14"/>
  <c r="V17" i="14"/>
  <c r="V18" i="14"/>
  <c r="V5" i="14"/>
  <c r="V6" i="14"/>
  <c r="V7" i="14"/>
  <c r="V8" i="14"/>
  <c r="V9" i="14"/>
  <c r="V10" i="14"/>
  <c r="B18" i="17"/>
  <c r="B29" i="17"/>
  <c r="B32" i="17" s="1"/>
  <c r="C18" i="17"/>
  <c r="C29" i="17"/>
  <c r="B48" i="20"/>
  <c r="B54" i="20"/>
  <c r="B42" i="20"/>
  <c r="B20" i="20"/>
  <c r="B22" i="20" s="1"/>
  <c r="U5" i="14"/>
  <c r="U6" i="14"/>
  <c r="U7" i="14"/>
  <c r="U8" i="14"/>
  <c r="U9" i="14"/>
  <c r="U10" i="14"/>
  <c r="U15" i="14"/>
  <c r="U19" i="14" s="1"/>
  <c r="U22" i="14" s="1"/>
  <c r="U16" i="14"/>
  <c r="U17" i="14"/>
  <c r="U18" i="14"/>
  <c r="R5" i="14"/>
  <c r="R6" i="14"/>
  <c r="R7" i="14"/>
  <c r="R8" i="14"/>
  <c r="R9" i="14"/>
  <c r="R10" i="14"/>
  <c r="R15" i="14"/>
  <c r="R16" i="14"/>
  <c r="R17" i="14"/>
  <c r="R18" i="14"/>
  <c r="S5" i="14"/>
  <c r="S6" i="14"/>
  <c r="S7" i="14"/>
  <c r="S8" i="14"/>
  <c r="S9" i="14"/>
  <c r="S10" i="14"/>
  <c r="S15" i="14"/>
  <c r="S16" i="14"/>
  <c r="S17" i="14"/>
  <c r="S18" i="14"/>
  <c r="T5" i="14"/>
  <c r="T6" i="14"/>
  <c r="T7" i="14"/>
  <c r="T8" i="14"/>
  <c r="T9" i="14"/>
  <c r="T10" i="14"/>
  <c r="T15" i="14"/>
  <c r="T16" i="14"/>
  <c r="T17" i="14"/>
  <c r="T18" i="14"/>
  <c r="H19" i="14"/>
  <c r="G19" i="14"/>
  <c r="F19" i="14"/>
  <c r="E19" i="14"/>
  <c r="D19" i="14"/>
  <c r="V14" i="14"/>
  <c r="U14" i="14"/>
  <c r="T14" i="14"/>
  <c r="F11" i="14"/>
  <c r="E11" i="14"/>
  <c r="D11" i="14"/>
  <c r="E12" i="14" s="1"/>
  <c r="Q11" i="14"/>
  <c r="G11" i="14"/>
  <c r="E10" i="19"/>
  <c r="E9" i="19"/>
  <c r="E8" i="19"/>
  <c r="J5" i="19"/>
  <c r="I3" i="19"/>
  <c r="I4" i="19"/>
  <c r="J4" i="19" s="1"/>
  <c r="I1" i="19"/>
  <c r="J4" i="18"/>
  <c r="R17" i="18"/>
  <c r="E113" i="18"/>
  <c r="D113" i="18"/>
  <c r="Q16" i="18"/>
  <c r="R16" i="18" s="1"/>
  <c r="G36" i="18"/>
  <c r="H36" i="18"/>
  <c r="G48" i="18"/>
  <c r="H48" i="18"/>
  <c r="G60" i="18"/>
  <c r="H60" i="18"/>
  <c r="G72" i="18"/>
  <c r="H72" i="18"/>
  <c r="I72" i="18"/>
  <c r="G84" i="18"/>
  <c r="H84" i="18"/>
  <c r="I84" i="18" s="1"/>
  <c r="G96" i="18"/>
  <c r="H96" i="18"/>
  <c r="G108" i="18"/>
  <c r="O89" i="18" s="1"/>
  <c r="Q89" i="18" s="1"/>
  <c r="H108" i="18"/>
  <c r="G111" i="18"/>
  <c r="H111" i="18"/>
  <c r="E112" i="18"/>
  <c r="D112" i="18"/>
  <c r="B29" i="18"/>
  <c r="F29" i="18"/>
  <c r="B30" i="18" s="1"/>
  <c r="F30" i="18" s="1"/>
  <c r="B31" i="18" s="1"/>
  <c r="F31" i="18" s="1"/>
  <c r="B32" i="18" s="1"/>
  <c r="F32" i="18" s="1"/>
  <c r="B33" i="18" s="1"/>
  <c r="F33" i="18" s="1"/>
  <c r="B34" i="18" s="1"/>
  <c r="F34" i="18" s="1"/>
  <c r="B35" i="18" s="1"/>
  <c r="F35" i="18" s="1"/>
  <c r="B36" i="18" s="1"/>
  <c r="F36" i="18" s="1"/>
  <c r="B37" i="18" s="1"/>
  <c r="E4" i="18"/>
  <c r="F4" i="18" s="1"/>
  <c r="F8" i="18" s="1"/>
  <c r="D16" i="18" s="1"/>
  <c r="C13" i="18"/>
  <c r="C16" i="18"/>
  <c r="A17" i="18"/>
  <c r="C17" i="18" s="1"/>
  <c r="L15" i="9"/>
  <c r="L5" i="9"/>
  <c r="L7" i="9"/>
  <c r="G5" i="9"/>
  <c r="G9" i="9" s="1"/>
  <c r="G15" i="9"/>
  <c r="H16" i="9"/>
  <c r="D9" i="9"/>
  <c r="F9" i="9"/>
  <c r="D18" i="9" s="1"/>
  <c r="G6" i="9"/>
  <c r="G7" i="9"/>
  <c r="G8" i="9"/>
  <c r="B9" i="9"/>
  <c r="E37" i="9"/>
  <c r="E38" i="9"/>
  <c r="E39" i="9"/>
  <c r="E40" i="9"/>
  <c r="E41" i="9"/>
  <c r="E36" i="9"/>
  <c r="C42" i="9"/>
  <c r="E42" i="9" s="1"/>
  <c r="L85" i="3"/>
  <c r="K85" i="3"/>
  <c r="L82" i="3"/>
  <c r="K82" i="3"/>
  <c r="L80" i="3"/>
  <c r="K80" i="3"/>
  <c r="L78" i="3"/>
  <c r="K78" i="3"/>
  <c r="L73" i="3"/>
  <c r="K73" i="3"/>
  <c r="L71" i="3"/>
  <c r="K71" i="3"/>
  <c r="K67" i="3" s="1"/>
  <c r="L68" i="3"/>
  <c r="K68" i="3"/>
  <c r="L58" i="3"/>
  <c r="L57" i="3"/>
  <c r="K58" i="3"/>
  <c r="K57" i="3" s="1"/>
  <c r="K56" i="3"/>
  <c r="L56" i="3" s="1"/>
  <c r="K55" i="3"/>
  <c r="L55" i="3"/>
  <c r="K52" i="3"/>
  <c r="L52" i="3"/>
  <c r="K49" i="3"/>
  <c r="L49" i="3" s="1"/>
  <c r="K39" i="3"/>
  <c r="L39" i="3" s="1"/>
  <c r="K38" i="3"/>
  <c r="L38" i="3" s="1"/>
  <c r="K37" i="3"/>
  <c r="K36" i="3"/>
  <c r="L36" i="3"/>
  <c r="K35" i="3"/>
  <c r="L35" i="3"/>
  <c r="K33" i="3"/>
  <c r="K28" i="3"/>
  <c r="K24" i="3"/>
  <c r="L24" i="3" s="1"/>
  <c r="K23" i="3"/>
  <c r="L23" i="3" s="1"/>
  <c r="K22" i="3"/>
  <c r="L22" i="3" s="1"/>
  <c r="K21" i="3"/>
  <c r="L21" i="3" s="1"/>
  <c r="K20" i="3"/>
  <c r="L20" i="3" s="1"/>
  <c r="K19" i="3"/>
  <c r="L19" i="3" s="1"/>
  <c r="K18" i="3"/>
  <c r="L18" i="3" s="1"/>
  <c r="K17" i="3"/>
  <c r="L17" i="3" s="1"/>
  <c r="K13" i="3"/>
  <c r="L13" i="3" s="1"/>
  <c r="K12" i="3"/>
  <c r="K11" i="3"/>
  <c r="L11" i="3" s="1"/>
  <c r="E4" i="5"/>
  <c r="E3" i="5" s="1"/>
  <c r="E43" i="5"/>
  <c r="F43" i="5" s="1"/>
  <c r="D4" i="5"/>
  <c r="F4" i="5" s="1"/>
  <c r="D37" i="5"/>
  <c r="D43" i="5"/>
  <c r="D48" i="5"/>
  <c r="F48" i="5" s="1"/>
  <c r="D74" i="5"/>
  <c r="D81" i="5"/>
  <c r="D91" i="5"/>
  <c r="E48" i="5"/>
  <c r="E74" i="5"/>
  <c r="E81" i="5"/>
  <c r="F81" i="5" s="1"/>
  <c r="E91" i="5"/>
  <c r="F96" i="5"/>
  <c r="F38" i="5"/>
  <c r="F39" i="5"/>
  <c r="F40" i="5"/>
  <c r="F41" i="5"/>
  <c r="F45" i="5"/>
  <c r="F75" i="5"/>
  <c r="F77" i="5"/>
  <c r="F78" i="5"/>
  <c r="F79" i="5"/>
  <c r="F80" i="5"/>
  <c r="F88" i="5"/>
  <c r="F89" i="5"/>
  <c r="F90" i="5"/>
  <c r="F93" i="5"/>
  <c r="F94" i="5"/>
  <c r="F95" i="5"/>
  <c r="G85" i="3"/>
  <c r="G73" i="3"/>
  <c r="G68" i="3"/>
  <c r="G71" i="3"/>
  <c r="G67" i="3" s="1"/>
  <c r="E34" i="3"/>
  <c r="G34" i="3" s="1"/>
  <c r="E50" i="3"/>
  <c r="I82" i="3"/>
  <c r="I78" i="3"/>
  <c r="I80" i="3"/>
  <c r="I85" i="3"/>
  <c r="I68" i="3"/>
  <c r="I67" i="3"/>
  <c r="I71" i="3"/>
  <c r="I73" i="3"/>
  <c r="J82" i="3"/>
  <c r="J78" i="3"/>
  <c r="J80" i="3"/>
  <c r="J85" i="3"/>
  <c r="J68" i="3"/>
  <c r="J67" i="3" s="1"/>
  <c r="J71" i="3"/>
  <c r="J73" i="3"/>
  <c r="H80" i="3"/>
  <c r="H82" i="3"/>
  <c r="H78" i="3"/>
  <c r="H77" i="3" s="1"/>
  <c r="H85" i="3"/>
  <c r="H68" i="3"/>
  <c r="H67" i="3"/>
  <c r="H71" i="3"/>
  <c r="H73" i="3"/>
  <c r="G78" i="3"/>
  <c r="G77" i="3" s="1"/>
  <c r="G80" i="3"/>
  <c r="G82" i="3"/>
  <c r="D85" i="3"/>
  <c r="D78" i="3"/>
  <c r="D80" i="3"/>
  <c r="D82" i="3"/>
  <c r="D68" i="3"/>
  <c r="D71" i="3"/>
  <c r="D73" i="3"/>
  <c r="G53" i="3"/>
  <c r="G54" i="3"/>
  <c r="G55" i="3"/>
  <c r="H55" i="3"/>
  <c r="G56" i="3"/>
  <c r="H56" i="3" s="1"/>
  <c r="G47" i="3"/>
  <c r="G48" i="3"/>
  <c r="G40" i="3"/>
  <c r="G41" i="3"/>
  <c r="G42" i="3"/>
  <c r="G43" i="3"/>
  <c r="G44" i="3"/>
  <c r="G45" i="3"/>
  <c r="G52" i="3"/>
  <c r="H52" i="3"/>
  <c r="G51" i="3"/>
  <c r="G49" i="3"/>
  <c r="H49" i="3"/>
  <c r="G46" i="3"/>
  <c r="G39" i="3"/>
  <c r="H39" i="3" s="1"/>
  <c r="G38" i="3"/>
  <c r="H38" i="3"/>
  <c r="G37" i="3"/>
  <c r="H37" i="3"/>
  <c r="G36" i="3"/>
  <c r="H36" i="3"/>
  <c r="G35" i="3"/>
  <c r="H35" i="3" s="1"/>
  <c r="G33" i="3"/>
  <c r="H33" i="3" s="1"/>
  <c r="H31" i="3" s="1"/>
  <c r="G32" i="3"/>
  <c r="G29" i="3"/>
  <c r="J6" i="3"/>
  <c r="J16" i="3"/>
  <c r="J27" i="3"/>
  <c r="J5" i="3" s="1"/>
  <c r="I6" i="3"/>
  <c r="I5" i="3" s="1"/>
  <c r="I16" i="3"/>
  <c r="I27" i="3"/>
  <c r="F6" i="3"/>
  <c r="F16" i="3"/>
  <c r="F27" i="3"/>
  <c r="E6" i="3"/>
  <c r="E16" i="3"/>
  <c r="E5" i="3" s="1"/>
  <c r="E27" i="3"/>
  <c r="D6" i="3"/>
  <c r="D16" i="3"/>
  <c r="D5" i="3" s="1"/>
  <c r="D27" i="3"/>
  <c r="J31" i="3"/>
  <c r="J34" i="3"/>
  <c r="J50" i="3"/>
  <c r="I31" i="3"/>
  <c r="I30" i="3" s="1"/>
  <c r="I4" i="3" s="1"/>
  <c r="I34" i="3"/>
  <c r="I50" i="3"/>
  <c r="F31" i="3"/>
  <c r="F34" i="3"/>
  <c r="F50" i="3"/>
  <c r="F30" i="3" s="1"/>
  <c r="E31" i="3"/>
  <c r="E30" i="3" s="1"/>
  <c r="D31" i="3"/>
  <c r="D34" i="3"/>
  <c r="D30" i="3" s="1"/>
  <c r="D50" i="3"/>
  <c r="G28" i="3"/>
  <c r="H28" i="3"/>
  <c r="H27" i="3"/>
  <c r="D58" i="3"/>
  <c r="D57" i="3" s="1"/>
  <c r="G26" i="3"/>
  <c r="G25" i="3"/>
  <c r="G24" i="3"/>
  <c r="H24" i="3" s="1"/>
  <c r="G23" i="3"/>
  <c r="H23" i="3"/>
  <c r="G22" i="3"/>
  <c r="H22" i="3" s="1"/>
  <c r="G21" i="3"/>
  <c r="H21" i="3" s="1"/>
  <c r="G20" i="3"/>
  <c r="H20" i="3" s="1"/>
  <c r="G19" i="3"/>
  <c r="H19" i="3" s="1"/>
  <c r="G18" i="3"/>
  <c r="H18" i="3" s="1"/>
  <c r="G17" i="3"/>
  <c r="H17" i="3"/>
  <c r="H16" i="3" s="1"/>
  <c r="G15" i="3"/>
  <c r="G14" i="3"/>
  <c r="G13" i="3"/>
  <c r="H13" i="3"/>
  <c r="G12" i="3"/>
  <c r="H12" i="3" s="1"/>
  <c r="G11" i="3"/>
  <c r="H11" i="3"/>
  <c r="G10" i="3"/>
  <c r="G9" i="3"/>
  <c r="G8" i="3"/>
  <c r="G7" i="3"/>
  <c r="I58" i="3"/>
  <c r="I57" i="3" s="1"/>
  <c r="J58" i="3"/>
  <c r="J57" i="3" s="1"/>
  <c r="H58" i="3"/>
  <c r="H57" i="3"/>
  <c r="F58" i="3"/>
  <c r="E58" i="3"/>
  <c r="E57" i="3" s="1"/>
  <c r="E9" i="9"/>
  <c r="D19" i="9" s="1"/>
  <c r="F25" i="19"/>
  <c r="G17" i="19"/>
  <c r="N31" i="21"/>
  <c r="N32" i="21" s="1"/>
  <c r="G24" i="19"/>
  <c r="L8" i="9"/>
  <c r="E13" i="16"/>
  <c r="E15" i="16"/>
  <c r="E6" i="16"/>
  <c r="D13" i="16"/>
  <c r="E8" i="16"/>
  <c r="D6" i="16"/>
  <c r="E9" i="16"/>
  <c r="D18" i="16"/>
  <c r="D16" i="16"/>
  <c r="D12" i="16"/>
  <c r="F8" i="16"/>
  <c r="D4" i="16"/>
  <c r="D19" i="16"/>
  <c r="D11" i="16"/>
  <c r="D8" i="16"/>
  <c r="D7" i="16"/>
  <c r="H24" i="19"/>
  <c r="I24" i="19" s="1"/>
  <c r="R17" i="16"/>
  <c r="Q25" i="16"/>
  <c r="K50" i="3"/>
  <c r="M46" i="18"/>
  <c r="M47" i="18" s="1"/>
  <c r="M48" i="18" s="1"/>
  <c r="M49" i="18" s="1"/>
  <c r="M50" i="18" s="1"/>
  <c r="M51" i="18" s="1"/>
  <c r="H20" i="19"/>
  <c r="I3" i="9"/>
  <c r="J3" i="9"/>
  <c r="K31" i="3"/>
  <c r="L33" i="3"/>
  <c r="L31" i="3" s="1"/>
  <c r="B78" i="20"/>
  <c r="B81" i="20" s="1"/>
  <c r="I26" i="21"/>
  <c r="L6" i="9"/>
  <c r="K6" i="9"/>
  <c r="W19" i="14"/>
  <c r="W22" i="14" s="1"/>
  <c r="I12" i="25"/>
  <c r="I27" i="25" s="1"/>
  <c r="O15" i="21"/>
  <c r="C9" i="9"/>
  <c r="J13" i="9"/>
  <c r="X11" i="14"/>
  <c r="X12" i="14" s="1"/>
  <c r="R11" i="14"/>
  <c r="O25" i="16"/>
  <c r="B28" i="22"/>
  <c r="W11" i="14"/>
  <c r="J12" i="14"/>
  <c r="C10" i="9"/>
  <c r="F10" i="9"/>
  <c r="F16" i="9" s="1"/>
  <c r="D22" i="9" s="1"/>
  <c r="O26" i="16"/>
  <c r="Y22" i="14"/>
  <c r="K13" i="9"/>
  <c r="I48" i="18"/>
  <c r="F5" i="3"/>
  <c r="E47" i="5"/>
  <c r="L37" i="3"/>
  <c r="D67" i="3"/>
  <c r="F29" i="17"/>
  <c r="O113" i="18"/>
  <c r="H50" i="35" l="1"/>
  <c r="H51" i="35"/>
  <c r="I50" i="35"/>
  <c r="I51" i="35"/>
  <c r="I50" i="34"/>
  <c r="H49" i="34"/>
  <c r="H46" i="32"/>
  <c r="H45" i="32"/>
  <c r="I46" i="32"/>
  <c r="I45" i="32"/>
  <c r="O43" i="29"/>
  <c r="N166" i="29"/>
  <c r="N169" i="29"/>
  <c r="P43" i="29"/>
  <c r="P47" i="29" s="1"/>
  <c r="D43" i="29"/>
  <c r="D47" i="29" s="1"/>
  <c r="G166" i="29"/>
  <c r="G170" i="29" s="1"/>
  <c r="I166" i="29"/>
  <c r="I170" i="29" s="1"/>
  <c r="I175" i="29" s="1"/>
  <c r="K168" i="29"/>
  <c r="O168" i="29"/>
  <c r="O170" i="29" s="1"/>
  <c r="O175" i="29" s="1"/>
  <c r="E47" i="22"/>
  <c r="D4" i="3"/>
  <c r="H34" i="3"/>
  <c r="I60" i="18"/>
  <c r="G16" i="3"/>
  <c r="L34" i="3"/>
  <c r="L30" i="3" s="1"/>
  <c r="Y11" i="14"/>
  <c r="H6" i="3"/>
  <c r="H5" i="3" s="1"/>
  <c r="J30" i="3"/>
  <c r="J4" i="3" s="1"/>
  <c r="L50" i="3"/>
  <c r="I96" i="18"/>
  <c r="S19" i="14"/>
  <c r="J77" i="3"/>
  <c r="J66" i="3" s="1"/>
  <c r="I77" i="3"/>
  <c r="I66" i="3" s="1"/>
  <c r="L67" i="3"/>
  <c r="L77" i="3"/>
  <c r="I111" i="18"/>
  <c r="L16" i="3"/>
  <c r="F12" i="14"/>
  <c r="G11" i="9"/>
  <c r="I11" i="9" s="1"/>
  <c r="J11" i="9" s="1"/>
  <c r="K11" i="9" s="1"/>
  <c r="H66" i="3"/>
  <c r="H50" i="3"/>
  <c r="I108" i="18"/>
  <c r="G31" i="3"/>
  <c r="G50" i="3"/>
  <c r="R19" i="14"/>
  <c r="R21" i="14" s="1"/>
  <c r="R24" i="14" s="1"/>
  <c r="Z19" i="14"/>
  <c r="Z22" i="14" s="1"/>
  <c r="T19" i="14"/>
  <c r="T11" i="14"/>
  <c r="R25" i="16"/>
  <c r="O27" i="16"/>
  <c r="V19" i="14"/>
  <c r="V22" i="14" s="1"/>
  <c r="H26" i="21"/>
  <c r="M168" i="29"/>
  <c r="M170" i="29" s="1"/>
  <c r="D166" i="29"/>
  <c r="D168" i="29" s="1"/>
  <c r="L175" i="29"/>
  <c r="L169" i="29"/>
  <c r="L168" i="29" s="1"/>
  <c r="H23" i="29"/>
  <c r="M43" i="29"/>
  <c r="M46" i="29" s="1"/>
  <c r="M47" i="29" s="1"/>
  <c r="G23" i="29"/>
  <c r="F168" i="29"/>
  <c r="L43" i="29"/>
  <c r="L47" i="29" s="1"/>
  <c r="K43" i="29"/>
  <c r="K47" i="29" s="1"/>
  <c r="F43" i="29"/>
  <c r="F47" i="29" s="1"/>
  <c r="I169" i="29"/>
  <c r="E43" i="29"/>
  <c r="E47" i="29" s="1"/>
  <c r="N43" i="29"/>
  <c r="G17" i="29"/>
  <c r="G175" i="29"/>
  <c r="H42" i="29"/>
  <c r="E168" i="29"/>
  <c r="G41" i="29"/>
  <c r="G169" i="29"/>
  <c r="G137" i="29"/>
  <c r="H137" i="29" s="1"/>
  <c r="I137" i="29" s="1"/>
  <c r="H134" i="29"/>
  <c r="I134" i="29" s="1"/>
  <c r="I28" i="29"/>
  <c r="I41" i="29" s="1"/>
  <c r="H41" i="29"/>
  <c r="N175" i="29"/>
  <c r="F37" i="18"/>
  <c r="B38" i="18" s="1"/>
  <c r="F38" i="18" s="1"/>
  <c r="B39" i="18" s="1"/>
  <c r="F39" i="18" s="1"/>
  <c r="B40" i="18" s="1"/>
  <c r="F40" i="18" s="1"/>
  <c r="B41" i="18" s="1"/>
  <c r="F41" i="18" s="1"/>
  <c r="B42" i="18" s="1"/>
  <c r="F42" i="18" s="1"/>
  <c r="B43" i="18" s="1"/>
  <c r="F43" i="18" s="1"/>
  <c r="B44" i="18" s="1"/>
  <c r="F44" i="18" s="1"/>
  <c r="B45" i="18" s="1"/>
  <c r="F45" i="18" s="1"/>
  <c r="B46" i="18" s="1"/>
  <c r="F46" i="18" s="1"/>
  <c r="B47" i="18" s="1"/>
  <c r="F47" i="18" s="1"/>
  <c r="B48" i="18" s="1"/>
  <c r="F48" i="18" s="1"/>
  <c r="B49" i="18" s="1"/>
  <c r="L12" i="3"/>
  <c r="L6" i="3" s="1"/>
  <c r="K6" i="3"/>
  <c r="H19" i="19"/>
  <c r="G25" i="19"/>
  <c r="J4" i="9"/>
  <c r="K4" i="9" s="1"/>
  <c r="Y21" i="14"/>
  <c r="Y24" i="14" s="1"/>
  <c r="Y12" i="14"/>
  <c r="W21" i="14"/>
  <c r="W24" i="14" s="1"/>
  <c r="W25" i="14" s="1"/>
  <c r="W29" i="14" s="1"/>
  <c r="W12" i="14"/>
  <c r="F74" i="5"/>
  <c r="D47" i="5"/>
  <c r="F47" i="5" s="1"/>
  <c r="F18" i="17"/>
  <c r="C32" i="17"/>
  <c r="C33" i="17" s="1"/>
  <c r="E16" i="19"/>
  <c r="D17" i="19"/>
  <c r="H17" i="19"/>
  <c r="I14" i="19"/>
  <c r="E19" i="19"/>
  <c r="E25" i="19" s="1"/>
  <c r="D25" i="19"/>
  <c r="G66" i="3"/>
  <c r="K16" i="3"/>
  <c r="X21" i="14"/>
  <c r="X24" i="14" s="1"/>
  <c r="I9" i="9"/>
  <c r="D77" i="3"/>
  <c r="D66" i="3" s="1"/>
  <c r="S11" i="14"/>
  <c r="S21" i="14" s="1"/>
  <c r="S24" i="14" s="1"/>
  <c r="U11" i="14"/>
  <c r="H12" i="25"/>
  <c r="L3" i="9"/>
  <c r="K3" i="9"/>
  <c r="F57" i="3"/>
  <c r="G57" i="3" s="1"/>
  <c r="G58" i="3"/>
  <c r="F37" i="5"/>
  <c r="D3" i="5"/>
  <c r="F3" i="5" s="1"/>
  <c r="K27" i="3"/>
  <c r="L28" i="3"/>
  <c r="L27" i="3" s="1"/>
  <c r="L14" i="9"/>
  <c r="K14" i="9"/>
  <c r="G5" i="3"/>
  <c r="P56" i="16"/>
  <c r="D24" i="9"/>
  <c r="G23" i="19"/>
  <c r="H23" i="19" s="1"/>
  <c r="I28" i="19" s="1"/>
  <c r="G30" i="3"/>
  <c r="E4" i="3"/>
  <c r="V11" i="14"/>
  <c r="G26" i="21"/>
  <c r="H23" i="25"/>
  <c r="L13" i="9"/>
  <c r="M16" i="9" s="1"/>
  <c r="D23" i="9"/>
  <c r="I36" i="18"/>
  <c r="I112" i="18" s="1"/>
  <c r="Q15" i="18" s="1"/>
  <c r="R15" i="18" s="1"/>
  <c r="G112" i="18"/>
  <c r="B83" i="20"/>
  <c r="B55" i="20"/>
  <c r="I5" i="29"/>
  <c r="I17" i="29" s="1"/>
  <c r="H17" i="29"/>
  <c r="N33" i="21"/>
  <c r="N36" i="21" s="1"/>
  <c r="N37" i="21" s="1"/>
  <c r="K34" i="3"/>
  <c r="K30" i="3" s="1"/>
  <c r="E16" i="18"/>
  <c r="F16" i="18" s="1"/>
  <c r="G16" i="18" s="1"/>
  <c r="D17" i="18" s="1"/>
  <c r="Z12" i="14"/>
  <c r="H112" i="18"/>
  <c r="G6" i="3"/>
  <c r="G27" i="3"/>
  <c r="H30" i="3"/>
  <c r="H4" i="3" s="1"/>
  <c r="F91" i="5"/>
  <c r="K77" i="3"/>
  <c r="K66" i="3" s="1"/>
  <c r="P25" i="16"/>
  <c r="H169" i="29"/>
  <c r="H168" i="29" s="1"/>
  <c r="E10" i="9"/>
  <c r="K56" i="16"/>
  <c r="H170" i="29"/>
  <c r="H175" i="29" s="1"/>
  <c r="K27" i="16"/>
  <c r="I168" i="29" l="1"/>
  <c r="N168" i="29"/>
  <c r="N170" i="29" s="1"/>
  <c r="G168" i="29"/>
  <c r="G43" i="29"/>
  <c r="G46" i="29" s="1"/>
  <c r="G47" i="29" s="1"/>
  <c r="Z21" i="14"/>
  <c r="D170" i="29"/>
  <c r="D175" i="29" s="1"/>
  <c r="T21" i="14"/>
  <c r="T24" i="14" s="1"/>
  <c r="Q24" i="14" s="1"/>
  <c r="Q26" i="14" s="1"/>
  <c r="L66" i="3"/>
  <c r="N46" i="29"/>
  <c r="N47" i="29" s="1"/>
  <c r="H43" i="29"/>
  <c r="H46" i="29" s="1"/>
  <c r="H47" i="29" s="1"/>
  <c r="I43" i="29"/>
  <c r="I46" i="29" s="1"/>
  <c r="I47" i="29" s="1"/>
  <c r="P168" i="29"/>
  <c r="V21" i="14"/>
  <c r="V24" i="14" s="1"/>
  <c r="V12" i="14"/>
  <c r="F49" i="18"/>
  <c r="B50" i="18" s="1"/>
  <c r="F50" i="18" s="1"/>
  <c r="B51" i="18" s="1"/>
  <c r="F51" i="18" s="1"/>
  <c r="B52" i="18" s="1"/>
  <c r="F52" i="18" s="1"/>
  <c r="B53" i="18" s="1"/>
  <c r="F53" i="18" s="1"/>
  <c r="B54" i="18" s="1"/>
  <c r="F54" i="18" s="1"/>
  <c r="B55" i="18" s="1"/>
  <c r="F55" i="18" s="1"/>
  <c r="B56" i="18" s="1"/>
  <c r="F56" i="18" s="1"/>
  <c r="B57" i="18" s="1"/>
  <c r="F57" i="18" s="1"/>
  <c r="B58" i="18" s="1"/>
  <c r="F58" i="18" s="1"/>
  <c r="B59" i="18" s="1"/>
  <c r="F59" i="18" s="1"/>
  <c r="B60" i="18" s="1"/>
  <c r="F60" i="18" s="1"/>
  <c r="B61" i="18" s="1"/>
  <c r="K54" i="18"/>
  <c r="L54" i="18" s="1"/>
  <c r="E16" i="9"/>
  <c r="D21" i="9" s="1"/>
  <c r="G10" i="9"/>
  <c r="N38" i="21"/>
  <c r="N39" i="21" s="1"/>
  <c r="U21" i="14"/>
  <c r="U24" i="14" s="1"/>
  <c r="U12" i="14"/>
  <c r="I16" i="19"/>
  <c r="E17" i="19"/>
  <c r="I19" i="19"/>
  <c r="I25" i="19" s="1"/>
  <c r="H25" i="19"/>
  <c r="H27" i="19" s="1"/>
  <c r="F4" i="3"/>
  <c r="G4" i="3" s="1"/>
  <c r="J9" i="9"/>
  <c r="F32" i="17"/>
  <c r="IV32" i="17" s="1"/>
  <c r="K5" i="3"/>
  <c r="K4" i="3" s="1"/>
  <c r="L11" i="9"/>
  <c r="E17" i="18"/>
  <c r="F17" i="18" s="1"/>
  <c r="I17" i="19"/>
  <c r="K9" i="9"/>
  <c r="H27" i="25"/>
  <c r="L4" i="9"/>
  <c r="M9" i="9" s="1"/>
  <c r="L5" i="3"/>
  <c r="L4" i="3" s="1"/>
  <c r="K42" i="18"/>
  <c r="L42" i="18" s="1"/>
  <c r="P170" i="29" l="1"/>
  <c r="P175" i="29" s="1"/>
  <c r="L9" i="9"/>
  <c r="D17" i="9" s="1"/>
  <c r="I17" i="18"/>
  <c r="I18" i="18" s="1"/>
  <c r="J5" i="18"/>
  <c r="J6" i="18" s="1"/>
  <c r="L8" i="18" s="1"/>
  <c r="I10" i="9"/>
  <c r="G16" i="9"/>
  <c r="F61" i="18"/>
  <c r="B62" i="18" s="1"/>
  <c r="F62" i="18" s="1"/>
  <c r="B63" i="18" s="1"/>
  <c r="F63" i="18" s="1"/>
  <c r="B64" i="18" s="1"/>
  <c r="F64" i="18" s="1"/>
  <c r="B65" i="18" s="1"/>
  <c r="F65" i="18" s="1"/>
  <c r="B66" i="18" s="1"/>
  <c r="F66" i="18" s="1"/>
  <c r="B67" i="18" s="1"/>
  <c r="F67" i="18" s="1"/>
  <c r="B68" i="18" s="1"/>
  <c r="F68" i="18" s="1"/>
  <c r="B69" i="18" s="1"/>
  <c r="F69" i="18" s="1"/>
  <c r="B70" i="18" s="1"/>
  <c r="F70" i="18" s="1"/>
  <c r="B71" i="18" s="1"/>
  <c r="F71" i="18" s="1"/>
  <c r="B72" i="18" s="1"/>
  <c r="F72" i="18" s="1"/>
  <c r="B73" i="18" s="1"/>
  <c r="H28" i="19"/>
  <c r="K66" i="18" l="1"/>
  <c r="L66" i="18" s="1"/>
  <c r="F73" i="18"/>
  <c r="B74" i="18" s="1"/>
  <c r="F74" i="18" s="1"/>
  <c r="B75" i="18" s="1"/>
  <c r="F75" i="18" s="1"/>
  <c r="B76" i="18" s="1"/>
  <c r="F76" i="18" s="1"/>
  <c r="B77" i="18" s="1"/>
  <c r="F77" i="18" s="1"/>
  <c r="B78" i="18" s="1"/>
  <c r="F78" i="18" s="1"/>
  <c r="B79" i="18" s="1"/>
  <c r="F79" i="18" s="1"/>
  <c r="B80" i="18" s="1"/>
  <c r="F80" i="18" s="1"/>
  <c r="B81" i="18" s="1"/>
  <c r="F81" i="18" s="1"/>
  <c r="B82" i="18" s="1"/>
  <c r="F82" i="18" s="1"/>
  <c r="B83" i="18" s="1"/>
  <c r="F83" i="18" s="1"/>
  <c r="B84" i="18" s="1"/>
  <c r="F84" i="18" s="1"/>
  <c r="B85" i="18" s="1"/>
  <c r="I16" i="9"/>
  <c r="J10" i="9"/>
  <c r="F85" i="18" l="1"/>
  <c r="B86" i="18" s="1"/>
  <c r="F86" i="18" s="1"/>
  <c r="B87" i="18" s="1"/>
  <c r="F87" i="18" s="1"/>
  <c r="B88" i="18" s="1"/>
  <c r="F88" i="18" s="1"/>
  <c r="B89" i="18" s="1"/>
  <c r="F89" i="18" s="1"/>
  <c r="B90" i="18" s="1"/>
  <c r="F90" i="18" s="1"/>
  <c r="B91" i="18" s="1"/>
  <c r="F91" i="18" s="1"/>
  <c r="B92" i="18" s="1"/>
  <c r="F92" i="18" s="1"/>
  <c r="B93" i="18" s="1"/>
  <c r="F93" i="18" s="1"/>
  <c r="B94" i="18" s="1"/>
  <c r="F94" i="18" s="1"/>
  <c r="B95" i="18" s="1"/>
  <c r="F95" i="18" s="1"/>
  <c r="B96" i="18" s="1"/>
  <c r="F96" i="18" s="1"/>
  <c r="B97" i="18" s="1"/>
  <c r="J16" i="9"/>
  <c r="K10" i="9"/>
  <c r="K16" i="9" s="1"/>
  <c r="K77" i="18"/>
  <c r="L77" i="18" s="1"/>
  <c r="L10" i="9"/>
  <c r="M11" i="9" l="1"/>
  <c r="D20" i="9" s="1"/>
  <c r="D25" i="9" s="1"/>
  <c r="L16" i="9"/>
  <c r="F97" i="18"/>
  <c r="B98" i="18" s="1"/>
  <c r="F98" i="18" s="1"/>
  <c r="B99" i="18" s="1"/>
  <c r="F99" i="18" s="1"/>
  <c r="B100" i="18" s="1"/>
  <c r="F100" i="18" s="1"/>
  <c r="B101" i="18" s="1"/>
  <c r="F101" i="18" s="1"/>
  <c r="B102" i="18" s="1"/>
  <c r="F102" i="18" s="1"/>
  <c r="B103" i="18" s="1"/>
  <c r="F103" i="18" s="1"/>
  <c r="B104" i="18" s="1"/>
  <c r="F104" i="18" s="1"/>
  <c r="B105" i="18" s="1"/>
  <c r="F105" i="18" s="1"/>
  <c r="B106" i="18" s="1"/>
  <c r="F106" i="18" s="1"/>
  <c r="B107" i="18" s="1"/>
  <c r="F107" i="18" s="1"/>
  <c r="B108" i="18" s="1"/>
  <c r="F108" i="18" s="1"/>
  <c r="B109" i="18" s="1"/>
  <c r="F109" i="18" s="1"/>
  <c r="B110" i="18" s="1"/>
  <c r="F110" i="18" s="1"/>
  <c r="B111" i="18" s="1"/>
  <c r="K90" i="18"/>
  <c r="L90" i="18" s="1"/>
  <c r="K102" i="18" l="1"/>
  <c r="L102" i="18" s="1"/>
  <c r="O47" i="2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Uzivatel</author>
  </authors>
  <commentList>
    <comment ref="G13" authorId="0" shapeId="0" xr:uid="{00000000-0006-0000-0100-000001000000}">
      <text>
        <r>
          <rPr>
            <b/>
            <sz val="8"/>
            <color indexed="81"/>
            <rFont val="Tahoma"/>
            <family val="2"/>
            <charset val="238"/>
          </rPr>
          <t>Uzivatel:</t>
        </r>
        <r>
          <rPr>
            <sz val="8"/>
            <color indexed="81"/>
            <rFont val="Tahoma"/>
            <family val="2"/>
            <charset val="238"/>
          </rPr>
          <t xml:space="preserve">
Úprava územního plánu - bude po inventuře zlikvidováno</t>
        </r>
      </text>
    </comment>
    <comment ref="G19" authorId="0" shapeId="0" xr:uid="{00000000-0006-0000-0100-000002000000}">
      <text>
        <r>
          <rPr>
            <b/>
            <sz val="8"/>
            <color indexed="81"/>
            <rFont val="Tahoma"/>
            <family val="2"/>
            <charset val="238"/>
          </rPr>
          <t>Uzivatel:</t>
        </r>
        <r>
          <rPr>
            <sz val="8"/>
            <color indexed="81"/>
            <rFont val="Tahoma"/>
            <family val="2"/>
            <charset val="238"/>
          </rPr>
          <t xml:space="preserve">
ČOV, vodovod, kanalizace...</t>
        </r>
      </text>
    </comment>
    <comment ref="G24" authorId="0" shapeId="0" xr:uid="{00000000-0006-0000-0100-000003000000}">
      <text>
        <r>
          <rPr>
            <b/>
            <sz val="8"/>
            <color indexed="81"/>
            <rFont val="Tahoma"/>
            <family val="2"/>
            <charset val="238"/>
          </rPr>
          <t>Uzivatel:</t>
        </r>
        <r>
          <rPr>
            <sz val="8"/>
            <color indexed="81"/>
            <rFont val="Tahoma"/>
            <family val="2"/>
            <charset val="238"/>
          </rPr>
          <t xml:space="preserve">
Z toho 2147 tis. Kč dělá:
ČOV : 345 + 860 = 1205 tis. Kč
Voda:   96 + 846 =  942 tis. Kč</t>
        </r>
      </text>
    </comment>
    <comment ref="G33" authorId="0" shapeId="0" xr:uid="{00000000-0006-0000-0100-000004000000}">
      <text>
        <r>
          <rPr>
            <b/>
            <sz val="8"/>
            <color indexed="81"/>
            <rFont val="Tahoma"/>
            <family val="2"/>
            <charset val="238"/>
          </rPr>
          <t>Uzivatel:</t>
        </r>
        <r>
          <rPr>
            <sz val="8"/>
            <color indexed="81"/>
            <rFont val="Tahoma"/>
            <family val="2"/>
            <charset val="238"/>
          </rPr>
          <t xml:space="preserve">
Ćísla popisná + ??</t>
        </r>
      </text>
    </comment>
    <comment ref="G35" authorId="0" shapeId="0" xr:uid="{00000000-0006-0000-0100-000005000000}">
      <text>
        <r>
          <rPr>
            <b/>
            <sz val="8"/>
            <color indexed="81"/>
            <rFont val="Tahoma"/>
            <family val="2"/>
            <charset val="238"/>
          </rPr>
          <t>Uzivatel:</t>
        </r>
        <r>
          <rPr>
            <sz val="8"/>
            <color indexed="81"/>
            <rFont val="Tahoma"/>
            <family val="2"/>
            <charset val="238"/>
          </rPr>
          <t xml:space="preserve">
Příjmy ze stočného a ??</t>
        </r>
      </text>
    </comment>
    <comment ref="D39" authorId="0" shapeId="0" xr:uid="{00000000-0006-0000-0100-000006000000}">
      <text>
        <r>
          <rPr>
            <b/>
            <sz val="8"/>
            <color indexed="81"/>
            <rFont val="Tahoma"/>
            <family val="2"/>
            <charset val="238"/>
          </rPr>
          <t>Uzivatel:</t>
        </r>
        <r>
          <rPr>
            <sz val="8"/>
            <color indexed="81"/>
            <rFont val="Tahoma"/>
            <family val="2"/>
            <charset val="238"/>
          </rPr>
          <t xml:space="preserve">
FLIPPERSTAV</t>
        </r>
      </text>
    </comment>
    <comment ref="G39" authorId="0" shapeId="0" xr:uid="{00000000-0006-0000-0100-000007000000}">
      <text>
        <r>
          <rPr>
            <b/>
            <sz val="8"/>
            <color indexed="81"/>
            <rFont val="Tahoma"/>
            <family val="2"/>
            <charset val="238"/>
          </rPr>
          <t>Uzivatel:</t>
        </r>
        <r>
          <rPr>
            <sz val="8"/>
            <color indexed="81"/>
            <rFont val="Tahoma"/>
            <family val="2"/>
            <charset val="238"/>
          </rPr>
          <t xml:space="preserve">
Dluh FLIPPERSTAVu bez úroků</t>
        </r>
      </text>
    </comment>
    <comment ref="G55" authorId="0" shapeId="0" xr:uid="{00000000-0006-0000-0100-000008000000}">
      <text>
        <r>
          <rPr>
            <b/>
            <sz val="8"/>
            <color indexed="81"/>
            <rFont val="Tahoma"/>
            <family val="2"/>
            <charset val="238"/>
          </rPr>
          <t>Uzivatel:</t>
        </r>
        <r>
          <rPr>
            <sz val="8"/>
            <color indexed="81"/>
            <rFont val="Tahoma"/>
            <family val="2"/>
            <charset val="238"/>
          </rPr>
          <t xml:space="preserve">
Převod peněz mezi bankami (KB a PD) a pokladnou </t>
        </r>
      </text>
    </comment>
    <comment ref="G90" authorId="0" shapeId="0" xr:uid="{00000000-0006-0000-0100-000009000000}">
      <text>
        <r>
          <rPr>
            <b/>
            <sz val="8"/>
            <color indexed="81"/>
            <rFont val="Tahoma"/>
            <family val="2"/>
            <charset val="238"/>
          </rPr>
          <t>Uzivatel:</t>
        </r>
        <r>
          <rPr>
            <sz val="8"/>
            <color indexed="81"/>
            <rFont val="Tahoma"/>
            <family val="2"/>
            <charset val="238"/>
          </rPr>
          <t xml:space="preserve">
Za projekty ČOV a vodu </t>
        </r>
      </text>
    </comment>
    <comment ref="G94" authorId="0" shapeId="0" xr:uid="{00000000-0006-0000-0100-00000A000000}">
      <text>
        <r>
          <rPr>
            <b/>
            <sz val="8"/>
            <color indexed="81"/>
            <rFont val="Tahoma"/>
            <family val="2"/>
            <charset val="238"/>
          </rPr>
          <t>Uzivatel:</t>
        </r>
        <r>
          <rPr>
            <sz val="8"/>
            <color indexed="81"/>
            <rFont val="Tahoma"/>
            <family val="2"/>
            <charset val="238"/>
          </rPr>
          <t xml:space="preserve">
Dluh vůči státnímu rozpočtu, zbývá podle splátkového kalendáře:
164 400 do 15.12.2010
164 400 do 15.12.2011</t>
        </r>
      </text>
    </comment>
    <comment ref="G99" authorId="0" shapeId="0" xr:uid="{00000000-0006-0000-0100-00000B000000}">
      <text>
        <r>
          <rPr>
            <b/>
            <sz val="8"/>
            <color indexed="81"/>
            <rFont val="Tahoma"/>
            <family val="2"/>
            <charset val="238"/>
          </rPr>
          <t>Uzivatel:</t>
        </r>
        <r>
          <rPr>
            <sz val="8"/>
            <color indexed="81"/>
            <rFont val="Tahoma"/>
            <family val="2"/>
            <charset val="238"/>
          </rPr>
          <t xml:space="preserve">
Dluh daně z příjmů podle splátkového kalendáře = 60 tis.Kč/měs.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Ing. Jiří Prouza</author>
  </authors>
  <commentList>
    <comment ref="J3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Bezpečný pohyb vozidel a chodců a zkvalitnění průjezdnosti - návrh dopravních opatření</t>
        </r>
      </text>
    </comment>
    <comment ref="J4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Propojení pěší cesty od komunikace Na Ladech k panelové komunikaci u střelnice, stávající lávka je nelegální a zřejmě nesplňuje parametry vodoprávních úřadů. Akce může být součástí plánované cyklostezky.</t>
        </r>
      </text>
    </comment>
    <comment ref="J5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Propojení pěší cesty od komunikace Na Ladech k panelové komunikaci u střelnice, stávající lávka je nelegální a zřejmě nesplňuje parametry vodoprávních úřadů. Akce může být součástí plánované cyklostezky.</t>
        </r>
      </text>
    </comment>
    <comment ref="E7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Výkup poz.na chodníky</t>
        </r>
      </text>
    </comment>
    <comment ref="J15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Nutné dopracovat projektovou dokumentaci s předpokládanou definitivní podobou plochy vč. položkového rozpočtu celkových investičních nákladů. Navýšit rozpočet nad přidělenou dotaci pro definitivní realizaci projektu v roce 2014.</t>
        </r>
      </text>
    </comment>
    <comment ref="J16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Havarijní stav, téměř po celé délce je spodní část kamenné hráze (vodní líc) vymletý, hráz je téměř bez základů, hrozí sesun,</t>
        </r>
      </text>
    </comment>
    <comment ref="J17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svah k vodní ploše nelze udržovat z důvodů velkých kamenů. Je třeba doplnit drobným kamenem, zeminou a zatravnit.</t>
        </r>
      </text>
    </comment>
    <comment ref="J2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Je přidělená dotace</t>
        </r>
      </text>
    </comment>
    <comment ref="J36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Záleží na tom, bude-li průchozí II.etapa cyklostezky</t>
        </r>
      </text>
    </comment>
    <comment ref="J5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V rámci projektu Květinová louka příp. mimo něj </t>
        </r>
      </text>
    </comment>
    <comment ref="J52" authorId="0" shapeId="0" xr:uid="{00000000-0006-0000-0200-00000B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Vytipování lokality pro nové hřiště ve spolupráci s místními občany, realizace</t>
        </r>
      </text>
    </comment>
    <comment ref="J53" authorId="0" shapeId="0" xr:uid="{00000000-0006-0000-0200-00000C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Záměr, který již nebylo možné realizovat v rámci Revitalizace hráze, žulové schodnice daroval pro tuto akci Městys Škvorec – je zde i v tomto ohledu závazek tuto akci zrealizovat, (vizualizace záměru přílohou). Rekonstrukce prvních schodů prokazuje, že toto řešení by přispělo k estetizaci a kompletnímu dokončení tohoto prostranství.</t>
        </r>
      </text>
    </comment>
    <comment ref="J54" authorId="0" shapeId="0" xr:uid="{00000000-0006-0000-0200-00000D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Odstranění hřiště a kovové klece, vypracování projektu úpravy návsi (předpokládá se zatravnění, výsadba dřevin, květin, mobiliář)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stocne</author>
  </authors>
  <commentList>
    <comment ref="M128" authorId="0" shapeId="0" xr:uid="{00000000-0006-0000-0400-00000F000000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odchodné starosta
</t>
        </r>
      </text>
    </comment>
    <comment ref="K155" authorId="0" shapeId="0" xr:uid="{00000000-0006-0000-0400-000010000000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v tomto je dar obci Stebno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stocne</author>
  </authors>
  <commentList>
    <comment ref="M128" authorId="0" shapeId="0" xr:uid="{755E8FE9-4AE4-44BD-871A-A65A68EF1967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odchodné starosta
</t>
        </r>
      </text>
    </comment>
    <comment ref="K155" authorId="0" shapeId="0" xr:uid="{722AA4A8-B51D-4586-8B58-510D87AD5A4D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v tomto je dar obci Stebno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stocne</author>
  </authors>
  <commentList>
    <comment ref="M140" authorId="0" shapeId="0" xr:uid="{5996D77B-4226-40ED-B9BC-2B00EE12B654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odchodné starosta
</t>
        </r>
      </text>
    </comment>
    <comment ref="K169" authorId="0" shapeId="0" xr:uid="{C96F9FD7-6E79-4B85-AAAE-611518C99879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v tomto je dar obci Stebno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stocne</author>
  </authors>
  <commentList>
    <comment ref="M142" authorId="0" shapeId="0" xr:uid="{62A65BE7-8E30-4FFE-BBA8-8B2BDCEC2B36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odchodné starosta
</t>
        </r>
      </text>
    </comment>
    <comment ref="K169" authorId="0" shapeId="0" xr:uid="{BBF3C49A-74E7-4D1A-B11A-323672D29167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v tomto je dar obci Stebno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stocne</author>
  </authors>
  <commentList>
    <comment ref="M145" authorId="0" shapeId="0" xr:uid="{4EA23527-228E-422D-96FF-9DFCD136909C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odchodné starosta
</t>
        </r>
      </text>
    </comment>
    <comment ref="K172" authorId="0" shapeId="0" xr:uid="{EA9AB25B-8EE1-4E33-9D7D-690AD6908424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v tomto je dar obci Stebno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stocne</author>
  </authors>
  <commentList>
    <comment ref="S41" authorId="0" shapeId="0" xr:uid="{08D26051-BD55-4CA2-8159-F3E9D5299D06}">
      <text>
        <r>
          <rPr>
            <b/>
            <sz val="9"/>
            <color indexed="81"/>
            <rFont val="Tahoma"/>
            <family val="2"/>
          </rPr>
          <t>stocne:</t>
        </r>
        <r>
          <rPr>
            <sz val="9"/>
            <color indexed="81"/>
            <rFont val="Tahoma"/>
            <family val="2"/>
          </rPr>
          <t xml:space="preserve">
pojistné náhrady
</t>
        </r>
      </text>
    </comment>
    <comment ref="M150" authorId="0" shapeId="0" xr:uid="{36C30A75-F218-47DB-AC9A-D686B48BCBEA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odchodné starosta
</t>
        </r>
      </text>
    </comment>
    <comment ref="K178" authorId="0" shapeId="0" xr:uid="{8A3084FC-412C-42B2-9AC4-CFB43308938B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v tomto je dar obci Stebno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stocne</author>
  </authors>
  <commentList>
    <comment ref="S42" authorId="0" shapeId="0" xr:uid="{229F4BC7-F529-44D7-8691-4A663F86E428}">
      <text>
        <r>
          <rPr>
            <b/>
            <sz val="9"/>
            <color indexed="81"/>
            <rFont val="Tahoma"/>
            <family val="2"/>
          </rPr>
          <t>stocne:</t>
        </r>
        <r>
          <rPr>
            <sz val="9"/>
            <color indexed="81"/>
            <rFont val="Tahoma"/>
            <family val="2"/>
          </rPr>
          <t xml:space="preserve">
pojistné náhrady
</t>
        </r>
      </text>
    </comment>
    <comment ref="M151" authorId="0" shapeId="0" xr:uid="{C81D62EB-483F-4D23-AE73-3EE3749F6522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odchodné starosta
</t>
        </r>
      </text>
    </comment>
    <comment ref="K182" authorId="0" shapeId="0" xr:uid="{57B236BF-D5A5-4844-B413-BC705F859027}">
      <text>
        <r>
          <rPr>
            <b/>
            <sz val="9"/>
            <color indexed="81"/>
            <rFont val="Tahoma"/>
            <family val="2"/>
            <charset val="238"/>
          </rPr>
          <t>stocne:</t>
        </r>
        <r>
          <rPr>
            <sz val="9"/>
            <color indexed="81"/>
            <rFont val="Tahoma"/>
            <family val="2"/>
            <charset val="238"/>
          </rPr>
          <t xml:space="preserve">
v tomto je dar obci Stebno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Obec Květnice</author>
  </authors>
  <commentList>
    <comment ref="H3" authorId="0" shapeId="0" xr:uid="{00000000-0006-0000-0500-000001000000}">
      <text>
        <r>
          <rPr>
            <b/>
            <sz val="8"/>
            <color indexed="81"/>
            <rFont val="Tahoma"/>
            <family val="2"/>
            <charset val="238"/>
          </rPr>
          <t>Obec Květnice:</t>
        </r>
        <r>
          <rPr>
            <sz val="8"/>
            <color indexed="81"/>
            <rFont val="Tahoma"/>
            <family val="2"/>
            <charset val="238"/>
          </rPr>
          <t xml:space="preserve">
Prouza+dcera</t>
        </r>
      </text>
    </comment>
    <comment ref="B10" authorId="0" shapeId="0" xr:uid="{00000000-0006-0000-0500-000002000000}">
      <text>
        <r>
          <rPr>
            <b/>
            <sz val="8"/>
            <color indexed="81"/>
            <rFont val="Tahoma"/>
            <family val="2"/>
            <charset val="238"/>
          </rPr>
          <t>Obec Květnice:</t>
        </r>
        <r>
          <rPr>
            <sz val="8"/>
            <color indexed="81"/>
            <rFont val="Tahoma"/>
            <family val="2"/>
            <charset val="238"/>
          </rPr>
          <t xml:space="preserve">
Od 7/2013
</t>
        </r>
      </text>
    </comment>
    <comment ref="B11" authorId="0" shapeId="0" xr:uid="{00000000-0006-0000-0500-000003000000}">
      <text>
        <r>
          <rPr>
            <b/>
            <sz val="8"/>
            <color indexed="81"/>
            <rFont val="Tahoma"/>
            <family val="2"/>
            <charset val="238"/>
          </rPr>
          <t>Obec Květnice:</t>
        </r>
        <r>
          <rPr>
            <sz val="8"/>
            <color indexed="81"/>
            <rFont val="Tahoma"/>
            <family val="2"/>
            <charset val="238"/>
          </rPr>
          <t xml:space="preserve">
Od 1/2014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Ing. Jiří Prouza</author>
  </authors>
  <commentList>
    <comment ref="M96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Ing. Jiří Prouza:</t>
        </r>
        <r>
          <rPr>
            <sz val="9"/>
            <color indexed="81"/>
            <rFont val="Tahoma"/>
            <family val="2"/>
            <charset val="238"/>
          </rPr>
          <t xml:space="preserve">
Mimořádná splátka ČOV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Obec Květnice</author>
  </authors>
  <commentList>
    <comment ref="E9" authorId="0" shapeId="0" xr:uid="{00000000-0006-0000-0B00-000001000000}">
      <text>
        <r>
          <rPr>
            <b/>
            <sz val="8"/>
            <color indexed="81"/>
            <rFont val="Tahoma"/>
            <family val="2"/>
            <charset val="238"/>
          </rPr>
          <t>Obec Květnice:</t>
        </r>
        <r>
          <rPr>
            <sz val="8"/>
            <color indexed="81"/>
            <rFont val="Tahoma"/>
            <family val="2"/>
            <charset val="238"/>
          </rPr>
          <t xml:space="preserve">
Včetně kontejneru u ČOV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Obec Květnice</author>
  </authors>
  <commentList>
    <comment ref="B9" authorId="0" shapeId="0" xr:uid="{00000000-0006-0000-0C00-000001000000}">
      <text>
        <r>
          <rPr>
            <b/>
            <sz val="8"/>
            <color indexed="81"/>
            <rFont val="Tahoma"/>
            <family val="2"/>
            <charset val="238"/>
          </rPr>
          <t>Obec Květnice:</t>
        </r>
        <r>
          <rPr>
            <sz val="8"/>
            <color indexed="81"/>
            <rFont val="Tahoma"/>
            <family val="2"/>
            <charset val="238"/>
          </rPr>
          <t xml:space="preserve">
máme jinou částku pan Hošek uvádí 210 240,-
</t>
        </r>
      </text>
    </comment>
    <comment ref="C11" authorId="0" shapeId="0" xr:uid="{00000000-0006-0000-0C00-000002000000}">
      <text>
        <r>
          <rPr>
            <b/>
            <sz val="8"/>
            <color indexed="81"/>
            <rFont val="Tahoma"/>
            <family val="2"/>
            <charset val="238"/>
          </rPr>
          <t>Obec Květnice:</t>
        </r>
        <r>
          <rPr>
            <sz val="8"/>
            <color indexed="81"/>
            <rFont val="Tahoma"/>
            <family val="2"/>
            <charset val="238"/>
          </rPr>
          <t xml:space="preserve">
pan Hošek uvádí, jako neuznatelné výdaje do dotace
</t>
        </r>
      </text>
    </comment>
    <comment ref="B14" authorId="0" shapeId="0" xr:uid="{00000000-0006-0000-0C00-000003000000}">
      <text>
        <r>
          <rPr>
            <b/>
            <sz val="8"/>
            <color indexed="81"/>
            <rFont val="Tahoma"/>
            <family val="2"/>
            <charset val="238"/>
          </rPr>
          <t>Obec Květnice:</t>
        </r>
        <r>
          <rPr>
            <sz val="8"/>
            <color indexed="81"/>
            <rFont val="Tahoma"/>
            <family val="2"/>
            <charset val="238"/>
          </rPr>
          <t xml:space="preserve">
panu Hoškovi ve vyúčtování chybí</t>
        </r>
      </text>
    </comment>
    <comment ref="C16" authorId="0" shapeId="0" xr:uid="{00000000-0006-0000-0C00-000004000000}">
      <text>
        <r>
          <rPr>
            <b/>
            <sz val="8"/>
            <color indexed="81"/>
            <rFont val="Tahoma"/>
            <family val="2"/>
            <charset val="238"/>
          </rPr>
          <t>Obec Květnice:</t>
        </r>
        <r>
          <rPr>
            <sz val="8"/>
            <color indexed="81"/>
            <rFont val="Tahoma"/>
            <family val="2"/>
            <charset val="238"/>
          </rPr>
          <t xml:space="preserve">
panu Hoškovi ve vyúčtování chybí</t>
        </r>
      </text>
    </comment>
    <comment ref="B23" authorId="0" shapeId="0" xr:uid="{00000000-0006-0000-0C00-000005000000}">
      <text>
        <r>
          <rPr>
            <b/>
            <sz val="8"/>
            <color indexed="81"/>
            <rFont val="Tahoma"/>
            <family val="2"/>
            <charset val="238"/>
          </rPr>
          <t>Obec Květnice:</t>
        </r>
        <r>
          <rPr>
            <sz val="8"/>
            <color indexed="81"/>
            <rFont val="Tahoma"/>
            <family val="2"/>
            <charset val="238"/>
          </rPr>
          <t xml:space="preserve">
rozdílná částka pan Hošek má 78 636,-</t>
        </r>
      </text>
    </comment>
    <comment ref="C24" authorId="0" shapeId="0" xr:uid="{00000000-0006-0000-0C00-000006000000}">
      <text>
        <r>
          <rPr>
            <b/>
            <sz val="8"/>
            <color indexed="81"/>
            <rFont val="Tahoma"/>
            <family val="2"/>
            <charset val="238"/>
          </rPr>
          <t>Obec Květnice:</t>
        </r>
        <r>
          <rPr>
            <sz val="8"/>
            <color indexed="81"/>
            <rFont val="Tahoma"/>
            <family val="2"/>
            <charset val="238"/>
          </rPr>
          <t xml:space="preserve">
tuto částku pan Hošek nemá</t>
        </r>
      </text>
    </comment>
  </commentList>
</comments>
</file>

<file path=xl/sharedStrings.xml><?xml version="1.0" encoding="utf-8"?>
<sst xmlns="http://schemas.openxmlformats.org/spreadsheetml/2006/main" count="2816" uniqueCount="1251">
  <si>
    <t>Výkaz zisku a ztráty</t>
  </si>
  <si>
    <t>Hlavní činnost</t>
  </si>
  <si>
    <t>Hosp. činnost</t>
  </si>
  <si>
    <t>Celkem v Kč</t>
  </si>
  <si>
    <t>A.</t>
  </si>
  <si>
    <t>Náklady celkem</t>
  </si>
  <si>
    <t>I.</t>
  </si>
  <si>
    <t>Náklady z činnosti</t>
  </si>
  <si>
    <t>1.</t>
  </si>
  <si>
    <t>Spotřeba materiálu</t>
  </si>
  <si>
    <t>2.</t>
  </si>
  <si>
    <t>Spotřeba energie</t>
  </si>
  <si>
    <t>3.</t>
  </si>
  <si>
    <t>Spotřeba jiných neskl. dodávek</t>
  </si>
  <si>
    <t>4.</t>
  </si>
  <si>
    <t>Prodané zboží</t>
  </si>
  <si>
    <t>5.</t>
  </si>
  <si>
    <t>Opravy a udržování</t>
  </si>
  <si>
    <t>6.</t>
  </si>
  <si>
    <t>Cestovné</t>
  </si>
  <si>
    <t>7.</t>
  </si>
  <si>
    <t>Náklady na reprezentaci</t>
  </si>
  <si>
    <t>8.</t>
  </si>
  <si>
    <t>Ostatní služby</t>
  </si>
  <si>
    <t>9.</t>
  </si>
  <si>
    <t>Mzdové náklady</t>
  </si>
  <si>
    <t>10.</t>
  </si>
  <si>
    <t>11.</t>
  </si>
  <si>
    <t>Zákonné sociální pojištění</t>
  </si>
  <si>
    <t>12.</t>
  </si>
  <si>
    <t>Jiné sociální pojištění</t>
  </si>
  <si>
    <t>13.</t>
  </si>
  <si>
    <t>Zákonné sociální náklady</t>
  </si>
  <si>
    <t>14.</t>
  </si>
  <si>
    <t>Jiné sociální náklady</t>
  </si>
  <si>
    <t>15.</t>
  </si>
  <si>
    <t>Daň silniční</t>
  </si>
  <si>
    <t>16.</t>
  </si>
  <si>
    <t>Daň z nemovitosti</t>
  </si>
  <si>
    <t>17.</t>
  </si>
  <si>
    <t>Jiné daně a poplatky</t>
  </si>
  <si>
    <t>18.</t>
  </si>
  <si>
    <t>19.</t>
  </si>
  <si>
    <t>Smluvní pokuty a úroky z prodlení</t>
  </si>
  <si>
    <t>20.</t>
  </si>
  <si>
    <t>Jiné pokuty a penále</t>
  </si>
  <si>
    <t>21.</t>
  </si>
  <si>
    <t>Dary</t>
  </si>
  <si>
    <t>22.</t>
  </si>
  <si>
    <t>Prodaný materiál</t>
  </si>
  <si>
    <t>23.</t>
  </si>
  <si>
    <t>Manka a škody</t>
  </si>
  <si>
    <t>24.</t>
  </si>
  <si>
    <t>Tvorba fondů</t>
  </si>
  <si>
    <t>25.</t>
  </si>
  <si>
    <t>Odpisy dlouhodobého majetku</t>
  </si>
  <si>
    <t>26.</t>
  </si>
  <si>
    <t>Zústatková cena prodaného DNM</t>
  </si>
  <si>
    <t>27.</t>
  </si>
  <si>
    <t>Zústatková cena prodaného DHM</t>
  </si>
  <si>
    <t>28.</t>
  </si>
  <si>
    <t>Prodané pozemky</t>
  </si>
  <si>
    <t>29.</t>
  </si>
  <si>
    <t>Tvorba a zúčtování rezerv</t>
  </si>
  <si>
    <t>30.</t>
  </si>
  <si>
    <t>Tvorba a zúčtování opr. položek</t>
  </si>
  <si>
    <t>31.</t>
  </si>
  <si>
    <t>Náklady z odepsaných pohledávek</t>
  </si>
  <si>
    <t>32.</t>
  </si>
  <si>
    <t>Ostatní náklady z činnosti</t>
  </si>
  <si>
    <t>II.</t>
  </si>
  <si>
    <t>Finanční náklady</t>
  </si>
  <si>
    <t>Prodané cenné papíry a podíly</t>
  </si>
  <si>
    <t>Úroky</t>
  </si>
  <si>
    <t>kurzové ztráty</t>
  </si>
  <si>
    <t>Náklady z přecenění reálnou hodnotou</t>
  </si>
  <si>
    <t>Ostatní finanční náklady</t>
  </si>
  <si>
    <t>III.</t>
  </si>
  <si>
    <t>Náklady na nespochybnitelné nároky na prostředky státního rozpočtu, rozpočtů ÚSC a SF</t>
  </si>
  <si>
    <t>Náklady na nároky na prostředky rozpočtů ÚSC</t>
  </si>
  <si>
    <t>Náklady na ostatní nároky</t>
  </si>
  <si>
    <t>B.</t>
  </si>
  <si>
    <t>Výnosy celkem</t>
  </si>
  <si>
    <t xml:space="preserve">Výnosy z činnosti </t>
  </si>
  <si>
    <t>Výnosy z prodeje vlastních výrobků</t>
  </si>
  <si>
    <t>Výnosy z prodeje služeb</t>
  </si>
  <si>
    <t>Výnosy z pronájmu</t>
  </si>
  <si>
    <t>Výnosy z prodaného zboží</t>
  </si>
  <si>
    <t>Výnosy ze správních poplatků</t>
  </si>
  <si>
    <t>Výnosy z místních poplatků</t>
  </si>
  <si>
    <t>Jiné výnosy z vlastních výkonů</t>
  </si>
  <si>
    <t>Změna stavu nedokončené výroby</t>
  </si>
  <si>
    <t>Změna stavu polotovarů</t>
  </si>
  <si>
    <t>Změna stavu výrobků</t>
  </si>
  <si>
    <t>Změna stavu ostatních zásob</t>
  </si>
  <si>
    <t>Aktivace materiálu a zboží</t>
  </si>
  <si>
    <t>Aktivace vnitropodnikových služeb</t>
  </si>
  <si>
    <t>Aktivace DNM</t>
  </si>
  <si>
    <t>Aktivace DHM</t>
  </si>
  <si>
    <t>Výnosy z odepsaných pohledávek</t>
  </si>
  <si>
    <t>Výnosy z prodeje materiálu</t>
  </si>
  <si>
    <t>Výnosy z prodeje DNM</t>
  </si>
  <si>
    <t>Výnosy z prodeje DHM kromě pozemků</t>
  </si>
  <si>
    <t>Výnosy z prodeje pozemků</t>
  </si>
  <si>
    <t>Čerpání fondů</t>
  </si>
  <si>
    <t>Ostatní výnosy z činnosti</t>
  </si>
  <si>
    <t>Finanční výnosy</t>
  </si>
  <si>
    <t>Výnosy z prodeje cenných papírů a podílů</t>
  </si>
  <si>
    <t>Kurzové zisky</t>
  </si>
  <si>
    <t>Výnosy z přecenění reálnou hodnotou</t>
  </si>
  <si>
    <t>Výnosy z dlouhodobého finančního majetku</t>
  </si>
  <si>
    <t>Ostatní finanční výnosy</t>
  </si>
  <si>
    <t>Výnosy z daní a poplatků</t>
  </si>
  <si>
    <t>Výnosy z daně z příjmů fyzických osob</t>
  </si>
  <si>
    <t>Výnosy z daně z příjmů právnických osob</t>
  </si>
  <si>
    <t>Výnosy ze sociálního pojištění</t>
  </si>
  <si>
    <t>Výnosy z daně z přidané hodnoty</t>
  </si>
  <si>
    <t>Výnosy ze spotřebních daní</t>
  </si>
  <si>
    <t>Výnosy z majetkových daní</t>
  </si>
  <si>
    <t>Výnosy z energetických daní</t>
  </si>
  <si>
    <t>Výnosy z ostatních daní a poplatků</t>
  </si>
  <si>
    <t>IV.</t>
  </si>
  <si>
    <t>Výnosy z nespochybnitelných nároků na prostředky státního rozpočtu, rozpočtů ÚSC a SF</t>
  </si>
  <si>
    <t>Výnosy z nároků na prostředky státního rozpočtu</t>
  </si>
  <si>
    <t>Výnosy z nároků na prostředky rozpočtů ÚSC</t>
  </si>
  <si>
    <t>Výnosy z nároků na prostředky státních fondů</t>
  </si>
  <si>
    <t>Výnosy z ostatních nároků</t>
  </si>
  <si>
    <t>VI.</t>
  </si>
  <si>
    <t>Výsledek hospodaření</t>
  </si>
  <si>
    <t>Výsledek hospodaření před zdaněním</t>
  </si>
  <si>
    <t>Daň z příjmů</t>
  </si>
  <si>
    <t>Dodatečné odvody daně z příjmů</t>
  </si>
  <si>
    <t>Výsledek hospodaření po zdanění</t>
  </si>
  <si>
    <t>ROZVAHA  -   BILANCE</t>
  </si>
  <si>
    <t>11.11.2010</t>
  </si>
  <si>
    <t>18.11.2010</t>
  </si>
  <si>
    <t>2010</t>
  </si>
  <si>
    <t>1.Q.2011</t>
  </si>
  <si>
    <t>v Kč</t>
  </si>
  <si>
    <t>s.ú.</t>
  </si>
  <si>
    <t>Brutto</t>
  </si>
  <si>
    <t>Korekce</t>
  </si>
  <si>
    <t>Netto</t>
  </si>
  <si>
    <t xml:space="preserve">AKTIVA CELKEM </t>
  </si>
  <si>
    <t>Stálá aktiva</t>
  </si>
  <si>
    <t xml:space="preserve">  I.</t>
  </si>
  <si>
    <t xml:space="preserve">Dlouhodobý nehmotný majetek </t>
  </si>
  <si>
    <t xml:space="preserve">         1.</t>
  </si>
  <si>
    <t>Nehmotné výsledky výzkumu a vývoje</t>
  </si>
  <si>
    <t>012</t>
  </si>
  <si>
    <t xml:space="preserve">         2.</t>
  </si>
  <si>
    <t>Software</t>
  </si>
  <si>
    <t>013</t>
  </si>
  <si>
    <t xml:space="preserve">         3.</t>
  </si>
  <si>
    <t>Ocenitelná práva</t>
  </si>
  <si>
    <t>014</t>
  </si>
  <si>
    <t xml:space="preserve">         4.</t>
  </si>
  <si>
    <t>Povolenky na emise a preferenční limity</t>
  </si>
  <si>
    <t>015</t>
  </si>
  <si>
    <t xml:space="preserve">         5.</t>
  </si>
  <si>
    <t>Drobný dlouhodobý nehmotný majetek</t>
  </si>
  <si>
    <t>018</t>
  </si>
  <si>
    <t xml:space="preserve">         6.</t>
  </si>
  <si>
    <t>Ostatní dlouhodobý nehmotný majetek</t>
  </si>
  <si>
    <t>019</t>
  </si>
  <si>
    <t xml:space="preserve">         7.</t>
  </si>
  <si>
    <t>Nedokončený dlouhodobý nehmotný majetek</t>
  </si>
  <si>
    <t>041</t>
  </si>
  <si>
    <t xml:space="preserve">         8.</t>
  </si>
  <si>
    <t>Uspořádací účet techn. zhodnocení dlouhodobého nehmotného majetku</t>
  </si>
  <si>
    <t>044</t>
  </si>
  <si>
    <t xml:space="preserve">         9.</t>
  </si>
  <si>
    <t>Poskytnuté zálohy na dlouhodobý nehmotný majetek</t>
  </si>
  <si>
    <t>051</t>
  </si>
  <si>
    <t xml:space="preserve">  II.</t>
  </si>
  <si>
    <t xml:space="preserve">Dlouhodobý hmotný majetek </t>
  </si>
  <si>
    <t>Pozemky</t>
  </si>
  <si>
    <t>Kulturní předměty</t>
  </si>
  <si>
    <t>032</t>
  </si>
  <si>
    <t>Stavby</t>
  </si>
  <si>
    <t>021</t>
  </si>
  <si>
    <t>Samostatné movité věci a soubory movitých věcí</t>
  </si>
  <si>
    <t>022</t>
  </si>
  <si>
    <t>Pěstitelské celky trvalých porostů</t>
  </si>
  <si>
    <t>025</t>
  </si>
  <si>
    <t>Drobný dlouhodobý hmotný majetek</t>
  </si>
  <si>
    <t>028</t>
  </si>
  <si>
    <t>Ostatní dlouhodobý hmotný majetek</t>
  </si>
  <si>
    <t>029</t>
  </si>
  <si>
    <t>Nedokončený dlouhodobý hmotný majetek</t>
  </si>
  <si>
    <t>042</t>
  </si>
  <si>
    <t>Uspořádací účet techn. zhodnocení dlouhodobého hmotného majetku</t>
  </si>
  <si>
    <t>045</t>
  </si>
  <si>
    <t xml:space="preserve">         10.</t>
  </si>
  <si>
    <t>Poskytnuté zálohy na dlouhodobý hmotný majetek</t>
  </si>
  <si>
    <t>052</t>
  </si>
  <si>
    <t xml:space="preserve">  III.</t>
  </si>
  <si>
    <t>Dlouhodobý finanční majetek</t>
  </si>
  <si>
    <t>Ostatní dlouhodobý finanční majetek</t>
  </si>
  <si>
    <t>069</t>
  </si>
  <si>
    <t>Dlouhodobé pohledávky</t>
  </si>
  <si>
    <t>Oběžná aktiva</t>
  </si>
  <si>
    <t xml:space="preserve"> I.</t>
  </si>
  <si>
    <t>Zásoby</t>
  </si>
  <si>
    <t>Pořízení materiálu</t>
  </si>
  <si>
    <t>111</t>
  </si>
  <si>
    <t>Materiál na skladě</t>
  </si>
  <si>
    <t>112</t>
  </si>
  <si>
    <t xml:space="preserve">Krátkodobé pohledávky </t>
  </si>
  <si>
    <t>Odběratelé</t>
  </si>
  <si>
    <t>311</t>
  </si>
  <si>
    <t>Směnky k inkasu</t>
  </si>
  <si>
    <t>312</t>
  </si>
  <si>
    <t>Pohledávky za eskontované cenné papíry</t>
  </si>
  <si>
    <t>313</t>
  </si>
  <si>
    <t>Krátkodobé poskytnuté zálohy</t>
  </si>
  <si>
    <t>314</t>
  </si>
  <si>
    <t>Jiné pohledávky z hlavní činnosti</t>
  </si>
  <si>
    <t>315</t>
  </si>
  <si>
    <t>Poskytnuté návratné finanční výpomoci krátkodobé</t>
  </si>
  <si>
    <t>316</t>
  </si>
  <si>
    <t>Krátkodobé pohledávky z postoupených úvěrů</t>
  </si>
  <si>
    <t>317</t>
  </si>
  <si>
    <t>Pohledávky za zaměstnanci</t>
  </si>
  <si>
    <t>335</t>
  </si>
  <si>
    <t xml:space="preserve">         11.</t>
  </si>
  <si>
    <t>Zúčtování s institucemi soc. zabezp. a zdr. pojištění</t>
  </si>
  <si>
    <t>336</t>
  </si>
  <si>
    <t xml:space="preserve">         12.</t>
  </si>
  <si>
    <t>341</t>
  </si>
  <si>
    <t xml:space="preserve">         13.</t>
  </si>
  <si>
    <t>Jiné přímé daně</t>
  </si>
  <si>
    <t>342</t>
  </si>
  <si>
    <t xml:space="preserve">         14.</t>
  </si>
  <si>
    <t>Daň z přidané hodnoty</t>
  </si>
  <si>
    <t>343</t>
  </si>
  <si>
    <t xml:space="preserve">         15.</t>
  </si>
  <si>
    <t>345</t>
  </si>
  <si>
    <t xml:space="preserve">         16.</t>
  </si>
  <si>
    <t>Pohledávky za státním rozpočtem</t>
  </si>
  <si>
    <t>346</t>
  </si>
  <si>
    <t xml:space="preserve">         28.</t>
  </si>
  <si>
    <t>Ostatní krátkodobé pohledávky</t>
  </si>
  <si>
    <t>377</t>
  </si>
  <si>
    <t xml:space="preserve">   IV.</t>
  </si>
  <si>
    <t>Krátkodobý finanční majetek</t>
  </si>
  <si>
    <t>Běžný účet</t>
  </si>
  <si>
    <t>241</t>
  </si>
  <si>
    <t>Základní běžný účet územních samosprávných celků</t>
  </si>
  <si>
    <t>231</t>
  </si>
  <si>
    <t>Běžné účty fondů územních samosprávných celků</t>
  </si>
  <si>
    <t>236</t>
  </si>
  <si>
    <t>Ceniny</t>
  </si>
  <si>
    <t>263</t>
  </si>
  <si>
    <t>Peníze na cestě</t>
  </si>
  <si>
    <t>262</t>
  </si>
  <si>
    <t xml:space="preserve">         17.</t>
  </si>
  <si>
    <t>Pokladna</t>
  </si>
  <si>
    <t>261</t>
  </si>
  <si>
    <t>Ostatní aktiva - přechodné účty aktiv</t>
  </si>
  <si>
    <t xml:space="preserve">Časové rozlišení </t>
  </si>
  <si>
    <t>Náklady příštích období</t>
  </si>
  <si>
    <t>Příjmy příštích období</t>
  </si>
  <si>
    <t>Kurzové rozdíly aktivní</t>
  </si>
  <si>
    <t>Dohadné účty aktivní</t>
  </si>
  <si>
    <t>min. obd.</t>
  </si>
  <si>
    <t>PASIVA CELKEM</t>
  </si>
  <si>
    <t>C.</t>
  </si>
  <si>
    <t>Vlastní kapitál</t>
  </si>
  <si>
    <t>Jmění účetní jednotky a upravující položky</t>
  </si>
  <si>
    <t>Jmění účetní jednotky</t>
  </si>
  <si>
    <t>401</t>
  </si>
  <si>
    <t>Dotace na pořízení dlouhodobého majetku</t>
  </si>
  <si>
    <t>403</t>
  </si>
  <si>
    <t xml:space="preserve">   II.</t>
  </si>
  <si>
    <t>Fondy účetní jednotky</t>
  </si>
  <si>
    <t>Ostatní fondy</t>
  </si>
  <si>
    <t>419</t>
  </si>
  <si>
    <t xml:space="preserve">   III.</t>
  </si>
  <si>
    <t>Výsledek hospodaření běžného účetního období</t>
  </si>
  <si>
    <t>493</t>
  </si>
  <si>
    <t>Výsledek hospodaření ve schvalovacím řízení</t>
  </si>
  <si>
    <t>431</t>
  </si>
  <si>
    <t>Nerozdělený zisk, neuhrazená ztráta minulých let</t>
  </si>
  <si>
    <t>432</t>
  </si>
  <si>
    <t>D.</t>
  </si>
  <si>
    <t>Cizí zdroje</t>
  </si>
  <si>
    <t>Výdajové účty rozpočtového hospodaření</t>
  </si>
  <si>
    <t>Zvláštní výdajový účet</t>
  </si>
  <si>
    <t>223</t>
  </si>
  <si>
    <t>Rezervy</t>
  </si>
  <si>
    <t>441</t>
  </si>
  <si>
    <t xml:space="preserve">    III.</t>
  </si>
  <si>
    <t>Dlouhodobé závazky</t>
  </si>
  <si>
    <t>Dlouhodobé úvěry</t>
  </si>
  <si>
    <t>452</t>
  </si>
  <si>
    <t>Přijaté návratné finanční výpomoci dlouhodobé</t>
  </si>
  <si>
    <t>Krátkodobé závazky</t>
  </si>
  <si>
    <t>Krátkodobé úvěry</t>
  </si>
  <si>
    <t>281</t>
  </si>
  <si>
    <t>Eskontované krátkodobé dluhopisy (směnky)</t>
  </si>
  <si>
    <t>282</t>
  </si>
  <si>
    <t>Vydané krátkodobé dluhopisy</t>
  </si>
  <si>
    <t>283</t>
  </si>
  <si>
    <t>Jiné krátkodobé půjčky</t>
  </si>
  <si>
    <t>289</t>
  </si>
  <si>
    <t>Dodavatelé</t>
  </si>
  <si>
    <t>321</t>
  </si>
  <si>
    <t>Směnky k úhradě</t>
  </si>
  <si>
    <t>322</t>
  </si>
  <si>
    <t>Krátkodobé přijaté zálohy</t>
  </si>
  <si>
    <t>324</t>
  </si>
  <si>
    <t>Závazky z dělené správy a kaucí</t>
  </si>
  <si>
    <t>325</t>
  </si>
  <si>
    <t>Přijaté návratné finanční výpomoci krátkodobé</t>
  </si>
  <si>
    <t>326</t>
  </si>
  <si>
    <t>Přijaté zálohy daní</t>
  </si>
  <si>
    <t>327</t>
  </si>
  <si>
    <t>Zaměstnanci</t>
  </si>
  <si>
    <t>331</t>
  </si>
  <si>
    <t>Jiné závazky vůči zaměstnancům</t>
  </si>
  <si>
    <t>333</t>
  </si>
  <si>
    <t>Zúčtování s institucemi SZ a ZP</t>
  </si>
  <si>
    <t xml:space="preserve">         18.</t>
  </si>
  <si>
    <t xml:space="preserve">         19.</t>
  </si>
  <si>
    <t xml:space="preserve">         20.</t>
  </si>
  <si>
    <t xml:space="preserve">         21.</t>
  </si>
  <si>
    <t>Závazky ke státnímu rozpočtu</t>
  </si>
  <si>
    <t>347</t>
  </si>
  <si>
    <t xml:space="preserve">         22.</t>
  </si>
  <si>
    <t>Závazky k rozpočtům územních samosprávných celků</t>
  </si>
  <si>
    <t>349</t>
  </si>
  <si>
    <t xml:space="preserve">         23.</t>
  </si>
  <si>
    <t>Závazky k účastníkům sdružení</t>
  </si>
  <si>
    <t>352</t>
  </si>
  <si>
    <t xml:space="preserve">         24.</t>
  </si>
  <si>
    <t>Krátkodobé závazky z ručení</t>
  </si>
  <si>
    <t>362</t>
  </si>
  <si>
    <t xml:space="preserve">         25.</t>
  </si>
  <si>
    <t>Pevné termínové operace a opce</t>
  </si>
  <si>
    <t>363</t>
  </si>
  <si>
    <t xml:space="preserve">         27.</t>
  </si>
  <si>
    <t>Závazky z finančního zajištění</t>
  </si>
  <si>
    <t>366</t>
  </si>
  <si>
    <t>Závazky z upsaných nesplacených cenných papírů</t>
  </si>
  <si>
    <t>368</t>
  </si>
  <si>
    <t xml:space="preserve">         29.</t>
  </si>
  <si>
    <t>Krátkodobé závazky z nástrojů spolufinancovaných ze zahraničí</t>
  </si>
  <si>
    <t>372</t>
  </si>
  <si>
    <t xml:space="preserve">         30.</t>
  </si>
  <si>
    <t>Přijaté zálohy na dotace</t>
  </si>
  <si>
    <t>374</t>
  </si>
  <si>
    <t xml:space="preserve">         31.</t>
  </si>
  <si>
    <t>Výdaje příštích období</t>
  </si>
  <si>
    <t>383</t>
  </si>
  <si>
    <t xml:space="preserve">         32.</t>
  </si>
  <si>
    <t>Výnosy příštích období</t>
  </si>
  <si>
    <t>384</t>
  </si>
  <si>
    <t xml:space="preserve">         33.</t>
  </si>
  <si>
    <t>Dohadné účty pasivní</t>
  </si>
  <si>
    <t>389</t>
  </si>
  <si>
    <t xml:space="preserve">         34.</t>
  </si>
  <si>
    <t>Ostatní krátkodobé závazky</t>
  </si>
  <si>
    <t>378</t>
  </si>
  <si>
    <t>Plán investic na rok 2013</t>
  </si>
  <si>
    <t>PR</t>
  </si>
  <si>
    <t>Akce na rok 2014 v Kč včetně DPH</t>
  </si>
  <si>
    <t>INV</t>
  </si>
  <si>
    <t>PROVOZ</t>
  </si>
  <si>
    <t>Z DOTACE</t>
  </si>
  <si>
    <t>Priorita</t>
  </si>
  <si>
    <t>INV Celk.</t>
  </si>
  <si>
    <t>Provoz</t>
  </si>
  <si>
    <t>Pr.Celk.</t>
  </si>
  <si>
    <t>Kamerový systém na 8 stanovištích - ČOV, kontejnery, Rybárna, OÚ</t>
  </si>
  <si>
    <t>Výdaje:</t>
  </si>
  <si>
    <t>Položka</t>
  </si>
  <si>
    <t>2014 RO č.1</t>
  </si>
  <si>
    <t>ROK 2014</t>
  </si>
  <si>
    <t>ROK 2013</t>
  </si>
  <si>
    <t>Vypracování dopravní studie obce</t>
  </si>
  <si>
    <t>Silnice - stavba</t>
  </si>
  <si>
    <t xml:space="preserve">Chodník - II.etapa od ČOV k ul. Čtyřlístková - DUR a stavební projekt </t>
  </si>
  <si>
    <t>Kamerový systém v obci</t>
  </si>
  <si>
    <t xml:space="preserve">Chodník - III.etapa od ul. Čtyřlístkové k rybníku - DUR a stavební projekt </t>
  </si>
  <si>
    <t>Komunikace + chodníky</t>
  </si>
  <si>
    <t>Chodník Na Ladech - k ČOV - projekt</t>
  </si>
  <si>
    <t>Chodník Na Ladech - k ČOV - výkup pozemků</t>
  </si>
  <si>
    <t>Oddělovací komora na kanalizaci</t>
  </si>
  <si>
    <t>Oprava komunikací - oprava výtluků, Kontryhelová (350 tis.Kč)</t>
  </si>
  <si>
    <t>Investice do ČOV</t>
  </si>
  <si>
    <t>Dešťová oddělovací komora na kanalizaci-zahájení prací (celkem 2 mil.Kč)</t>
  </si>
  <si>
    <t>ČOV - zařízení - ŘS</t>
  </si>
  <si>
    <t>Opravy kanalizace a revizních šachet</t>
  </si>
  <si>
    <t>Květinová louka</t>
  </si>
  <si>
    <t>Opravy kanalizace a revizních šachet - Koniklecová, Kontryhelová</t>
  </si>
  <si>
    <t>MŠ - studie, projekt</t>
  </si>
  <si>
    <t>Opravy vodovodních uzávěrů - Koniklecová, Kontryhelová</t>
  </si>
  <si>
    <t>Dětská hřiště</t>
  </si>
  <si>
    <t>ČOV - přípravné práce + projekty</t>
  </si>
  <si>
    <t>Stroje, přístroje, zařízení</t>
  </si>
  <si>
    <t>Dokončení a kolaudace objektu Rybárny (st.práce, komín, kamna)</t>
  </si>
  <si>
    <t>VO</t>
  </si>
  <si>
    <t>Projekt Květinová louka</t>
  </si>
  <si>
    <t>Územní plán (dokončení z r.2013)</t>
  </si>
  <si>
    <t>Průzkum kamenné hráze Mlýnského rybníka+oprava česlí, schodiště</t>
  </si>
  <si>
    <t>Hladinoměr/zař.pro povodně</t>
  </si>
  <si>
    <t>Úprava břehu Mlýnského rybníka podél komunikace Na Ladech-studie, oprava</t>
  </si>
  <si>
    <t>Budovy - Rybárna</t>
  </si>
  <si>
    <t>Projekt MŠ Na Ladech pro UR</t>
  </si>
  <si>
    <t>CELKEM v Kč</t>
  </si>
  <si>
    <t>Oprava kapličky a ostatních památek</t>
  </si>
  <si>
    <t xml:space="preserve">Revitalizace dětského hřiště v Proutnici </t>
  </si>
  <si>
    <t xml:space="preserve">Šťovíková </t>
  </si>
  <si>
    <t>Veřejné osvětlení (VO) příprava, zaměření</t>
  </si>
  <si>
    <t>Kontryhelová</t>
  </si>
  <si>
    <t>VO v lokalitě KV II</t>
  </si>
  <si>
    <t>Devětsilová</t>
  </si>
  <si>
    <t>Geometrická zaměření k projektům</t>
  </si>
  <si>
    <t>Celkem</t>
  </si>
  <si>
    <t>Přípravné práce studie, rozpočty…</t>
  </si>
  <si>
    <t>CELKEM 2014</t>
  </si>
  <si>
    <t xml:space="preserve">Akce realizovatelné z dotací </t>
  </si>
  <si>
    <t>Dokončení povrchu v ulici Koniklecová (FADESA)</t>
  </si>
  <si>
    <t>Dokončení povrchu v ulici Kontryhelová (cca 251 m x 6m)</t>
  </si>
  <si>
    <t>Dokončení povrchu v ulici Šťovíková (cca 275 m x 6m)</t>
  </si>
  <si>
    <t>Chodník - II.etapa k ul. Čtyřlístková bez mostku přes Výmolu - realizace</t>
  </si>
  <si>
    <t xml:space="preserve">Chodník - III.etapa od ul. Čtyřlístkové k rybníku - realizace (cca 300 m x 1,5 m) </t>
  </si>
  <si>
    <t>Chodník Na Ladech - I.etapa k ČOV - realizace - bez mostku přes Sibřinský potok</t>
  </si>
  <si>
    <t>Mostek přes Sibřinský potok u ČOV</t>
  </si>
  <si>
    <t>Mostek přes Výmolu z ul. Na Ladech (Čtyřlístková) směr střelnice</t>
  </si>
  <si>
    <t>Oprava chodníku z Vřesové na Rohožník</t>
  </si>
  <si>
    <t>ČOV - mechanické předčištění</t>
  </si>
  <si>
    <t>ČOV - ŘS kalová koncovka</t>
  </si>
  <si>
    <t xml:space="preserve">ČOV - ŘS pro automatizaci </t>
  </si>
  <si>
    <t>ČOV - zkapacitnění na 4500 EO</t>
  </si>
  <si>
    <t>MŠ pro 50 dětí v lokalitě Na Ladech</t>
  </si>
  <si>
    <t>Projekt MŠ Na Ladech pro SP</t>
  </si>
  <si>
    <t>Úprava plochy, přípojky, komunikace, herní prvky pro MŠ</t>
  </si>
  <si>
    <t>VO podél II.etapy chodník Čtyřlístková - ČOV</t>
  </si>
  <si>
    <t>VO podél III.etapy chodník Čtyřlístková - rybník</t>
  </si>
  <si>
    <t>VO v ulici Kontryhelová</t>
  </si>
  <si>
    <t>Mostek přes Výmolu v Květinové louce</t>
  </si>
  <si>
    <t>Nákup vozidla pro JSDH a obecní účely</t>
  </si>
  <si>
    <t>Nové víceúčelové sportovní hřiště pro mládež a dospělé</t>
  </si>
  <si>
    <t>Schody do Mlýnského rybníka u požeráku</t>
  </si>
  <si>
    <t>Úprava návsi ve staré části obce</t>
  </si>
  <si>
    <t>Oprava objektu hasičské zbrojnice</t>
  </si>
  <si>
    <t>Celkem dotace+dary+náhrady od pojišťovny</t>
  </si>
  <si>
    <t>Náklady na odstranění škod po povodni - červen 2013  vynaložené celkové s DPH pro KOOPERATIVU</t>
  </si>
  <si>
    <t>Předmět - popis - celkem vynaloženo</t>
  </si>
  <si>
    <t>Skutečnost</t>
  </si>
  <si>
    <t>Úklidové prostředky</t>
  </si>
  <si>
    <t>Kontejner na likvidaci poškozených věcí ( ev.č. 05)</t>
  </si>
  <si>
    <t>Odvodňovací rýha - Fr.Bambula IČ 60505494</t>
  </si>
  <si>
    <t>Nákup dezinf. prostředků na asanaci dětského hřiště</t>
  </si>
  <si>
    <t>Kontejner - likvidace poškozených věcí (č. p. 76)</t>
  </si>
  <si>
    <t>písek do pískoviště</t>
  </si>
  <si>
    <t>odvoz kontaminované zeminy</t>
  </si>
  <si>
    <t>oprava hřišť</t>
  </si>
  <si>
    <t>sanace hřišť</t>
  </si>
  <si>
    <t>opravy cest, hřiště - UNC</t>
  </si>
  <si>
    <t>doprava písek, kačírek</t>
  </si>
  <si>
    <t>Likvidace povodňových škod na ČOV - VHS Benešov</t>
  </si>
  <si>
    <t>Oprava vodárny v rybárně - F.Fouček</t>
  </si>
  <si>
    <t>Čištění kanalizace po povodni - Beneš</t>
  </si>
  <si>
    <t>Oprava chodníku ze zámkové dlažby - DePa</t>
  </si>
  <si>
    <t>Celkové náklady uznané KOOPERATIVOU</t>
  </si>
  <si>
    <t>spoluúčast na pojistném</t>
  </si>
  <si>
    <t>Uznané náklady - převedené na účet obce Květnice</t>
  </si>
  <si>
    <t>Dotace a dary od Středočeského kraje celkem</t>
  </si>
  <si>
    <t>Náklady na odstranění škod po povodni - červen 2013  vynaložené celkové s DPH - Dotace 41.000,- Kč</t>
  </si>
  <si>
    <t>Nákup pily pro JSDH Květnice</t>
  </si>
  <si>
    <t>B782</t>
  </si>
  <si>
    <t>PHM do pily</t>
  </si>
  <si>
    <t>P838</t>
  </si>
  <si>
    <t>Zámky, lopaty</t>
  </si>
  <si>
    <t>P818</t>
  </si>
  <si>
    <t>PHM práce na hrázi</t>
  </si>
  <si>
    <t>P805</t>
  </si>
  <si>
    <t>Holinky pro JSDH</t>
  </si>
  <si>
    <t>P845</t>
  </si>
  <si>
    <t>PHM - pila, práce na hrázi</t>
  </si>
  <si>
    <t>P877</t>
  </si>
  <si>
    <t>Ochranné pracovní pomůcky - štíty</t>
  </si>
  <si>
    <t>P889</t>
  </si>
  <si>
    <t>Vodoměrná lať na požerák Mlýnského rybníku</t>
  </si>
  <si>
    <t>P930</t>
  </si>
  <si>
    <t>Materiál na opravu laviček Proutnice</t>
  </si>
  <si>
    <t>P909</t>
  </si>
  <si>
    <t>Materiál na opravu laviček - Proutnice</t>
  </si>
  <si>
    <t>P914</t>
  </si>
  <si>
    <t>Materiál na opravu laviček</t>
  </si>
  <si>
    <t>B907</t>
  </si>
  <si>
    <t>Oprava hasičské stříkačky PS8 a savicový materiál</t>
  </si>
  <si>
    <t>B1092</t>
  </si>
  <si>
    <t>Elektroinstalace pro povodňové čidlo</t>
  </si>
  <si>
    <t>B1393</t>
  </si>
  <si>
    <t>Úprava loviště - dokumentace</t>
  </si>
  <si>
    <t>B1000</t>
  </si>
  <si>
    <t>Celkové náklady dotace 41.000,-</t>
  </si>
  <si>
    <t>Náklady na odstranění škod po povodni - červen 2013  účelový dar JSDH 13.700,- Kč</t>
  </si>
  <si>
    <t>JSDH - hadice</t>
  </si>
  <si>
    <t>P923</t>
  </si>
  <si>
    <t>JSDH - rozdělovač, proudnice, hadicová spojka</t>
  </si>
  <si>
    <t>B888</t>
  </si>
  <si>
    <t>Poškozená technika JSDH z dotace Stř.Kraj. úřadu 13.700,-Kč</t>
  </si>
  <si>
    <t>Náklady na odstranění škod po povodni - červen 2013 dar 160.000,- Kč</t>
  </si>
  <si>
    <t>Hladinoměr - Výmola</t>
  </si>
  <si>
    <t>Odvodnění plochy- drenáž</t>
  </si>
  <si>
    <t>Celkové náklady dotace 160.000,- Kč</t>
  </si>
  <si>
    <t>Náklady na odstranění škod po povodni - červen 2013 účelová dotace 1.154.000,- Kč</t>
  </si>
  <si>
    <t>Vytýčení hranic Šťovíková</t>
  </si>
  <si>
    <t>B1483</t>
  </si>
  <si>
    <t>Rekonstrukce VO na DH v Proutnici po povodních</t>
  </si>
  <si>
    <t>Oprava koruny hráze</t>
  </si>
  <si>
    <t>Oprava loviště na hrázi rybníka</t>
  </si>
  <si>
    <t>Oprava ulice Šťovíková</t>
  </si>
  <si>
    <t>Oprava kanalizačních vpustí a RŠ ul. Šťovíková</t>
  </si>
  <si>
    <t>Oprava vodovod.uzávěrů ul. Šťovíková</t>
  </si>
  <si>
    <t>Oprava zřícené východní zdi "Lednice" na hrázi Mlýnského rybníku</t>
  </si>
  <si>
    <t>dofakturace v 01/2014</t>
  </si>
  <si>
    <t>Celkové náklady dotace 1.154.000,- Kč</t>
  </si>
  <si>
    <t>Náklady na odstranění škod po povodni - červen 2013 ostatní - neuplatněné náklady</t>
  </si>
  <si>
    <t>Hadice k čerpadlu</t>
  </si>
  <si>
    <t>Oprava stříkačky PS 8</t>
  </si>
  <si>
    <t>Frézování pařezů na DH v Proutnici - vykácené stromy po povodni</t>
  </si>
  <si>
    <t>Oprava kanalizace v Proutnici - Mareš</t>
  </si>
  <si>
    <t>Vícepráce Šťovíková I.a II.etapa</t>
  </si>
  <si>
    <t>Odvodnění pozemku vícepráce</t>
  </si>
  <si>
    <t>Celkové neuplatněné náklady</t>
  </si>
  <si>
    <t>Návrh rozpočtu 2024-příjmy</t>
  </si>
  <si>
    <t>Paragraf</t>
  </si>
  <si>
    <t>Popis</t>
  </si>
  <si>
    <t>Rozpočet 2020</t>
  </si>
  <si>
    <t>Po RO 2020</t>
  </si>
  <si>
    <t>K 31.8. 2020</t>
  </si>
  <si>
    <t>Do konce 2020</t>
  </si>
  <si>
    <t>Očekávaná sutečnost 2020</t>
  </si>
  <si>
    <t>Rozpočet   2021</t>
  </si>
  <si>
    <t>Úprava 1/21 5.5.</t>
  </si>
  <si>
    <t>Stav 9/2021</t>
  </si>
  <si>
    <t>Předpoklad plnění 2022</t>
  </si>
  <si>
    <t>SR 2023</t>
  </si>
  <si>
    <t>Předpoklad plnění 2023</t>
  </si>
  <si>
    <t>Návrh 2024</t>
  </si>
  <si>
    <t>Daň z příjmu FO ze závislé činnosti</t>
  </si>
  <si>
    <t>Rozpočtové příjmy: 43 000 000</t>
  </si>
  <si>
    <t>Daň z příjmu FO ze SVČ</t>
  </si>
  <si>
    <t>Mandatorní výdaje: 17 000 000</t>
  </si>
  <si>
    <t>Daň z příjmů FO z kapitálových výnosů</t>
  </si>
  <si>
    <t>Na investice tedy: 26 000 000</t>
  </si>
  <si>
    <t>Daň z příjmů PO</t>
  </si>
  <si>
    <t>Daň PO proúčtování s výdajem 6399/5362</t>
  </si>
  <si>
    <t>DPH</t>
  </si>
  <si>
    <t>Odnětí půdy ze ZPF</t>
  </si>
  <si>
    <t>Poplatek ze psů</t>
  </si>
  <si>
    <t>Poplatek z pobytu</t>
  </si>
  <si>
    <t>Poplatek za užívání veř.prostranství</t>
  </si>
  <si>
    <t>Poplatek komunální odpad</t>
  </si>
  <si>
    <t>Správní poplatky</t>
  </si>
  <si>
    <t>Odvod z hazardních her</t>
  </si>
  <si>
    <t>Daň z nemovitých věcí</t>
  </si>
  <si>
    <t>Daňové příjmy</t>
  </si>
  <si>
    <t>Neinvestiční transfery ze SR - volby</t>
  </si>
  <si>
    <t>kompenzační bonus - stát</t>
  </si>
  <si>
    <t>Ostatní investiční transfery ze SR - pravidelný</t>
  </si>
  <si>
    <t>Dotace na MŠ</t>
  </si>
  <si>
    <t>Převody z vlastních fondů</t>
  </si>
  <si>
    <t>Přijaté transfery</t>
  </si>
  <si>
    <t>lesní hospodářství, prodej dřeva</t>
  </si>
  <si>
    <t>Příjmy z pronájmu vodovodu</t>
  </si>
  <si>
    <t>Stočné</t>
  </si>
  <si>
    <t>Mateřská škola - proplácení telefon</t>
  </si>
  <si>
    <t>Pronájem nemovitostí - rybárna</t>
  </si>
  <si>
    <t>Příjmy z poskytování služeb a výrobků</t>
  </si>
  <si>
    <t>věcná břemena</t>
  </si>
  <si>
    <t>Nájem pozemků</t>
  </si>
  <si>
    <t>Prodej pozemků</t>
  </si>
  <si>
    <t>Prodej pozemků ŘSD</t>
  </si>
  <si>
    <t>Separace EKO-KOM</t>
  </si>
  <si>
    <t>BIO popelnice</t>
  </si>
  <si>
    <t>Poskytování služeb</t>
  </si>
  <si>
    <t>Prodej zboží ( cedulky č.p.)</t>
  </si>
  <si>
    <t>Pronájem pozemků</t>
  </si>
  <si>
    <t>Sankční platby, pokuty přestup. komise</t>
  </si>
  <si>
    <t>Prodej dlouhodobého majetku</t>
  </si>
  <si>
    <t>Připsané úroky</t>
  </si>
  <si>
    <t>Nedaňové příjmy</t>
  </si>
  <si>
    <t>Kapitálové příjmy</t>
  </si>
  <si>
    <t xml:space="preserve">ROZPOČTOVÉ PŘÍJMY </t>
  </si>
  <si>
    <t>Přijatý úvěr</t>
  </si>
  <si>
    <t xml:space="preserve">Musí zde tento řádek být? </t>
  </si>
  <si>
    <t>Financování vlastní - převod z/do úspor</t>
  </si>
  <si>
    <t>Rozpočtové příjmy + financování celkem</t>
  </si>
  <si>
    <t>Návrh rozpočtu 2024 - výdaje</t>
  </si>
  <si>
    <t>lesní hospodářství</t>
  </si>
  <si>
    <t>Silnice - opravy a udržování - sníh</t>
  </si>
  <si>
    <t>Oprava ul.Šťavelová, Svízelová, Vlaštovičníková, Řebříčková</t>
  </si>
  <si>
    <t>Opravy a udržování komunikací</t>
  </si>
  <si>
    <t>PID - autobusová doprava</t>
  </si>
  <si>
    <t>dopravní značení</t>
  </si>
  <si>
    <t>služby bezpečnost sil.doprava</t>
  </si>
  <si>
    <t>Opravy a udržování chodníky</t>
  </si>
  <si>
    <t>Chodníky/bezpečnost komunikace - stavba</t>
  </si>
  <si>
    <t>chodník V Zelených; ulice K Oboře do lesa;
pěší cesta z návsi; revitalizace návsi</t>
  </si>
  <si>
    <t>Nákup - nové vodoměry</t>
  </si>
  <si>
    <t>Kanalizace - služby, revize</t>
  </si>
  <si>
    <t>Kanalizace - opravy, údržba</t>
  </si>
  <si>
    <t>oprava kanal. Kosmatcová, Rulíková, Devětsilová, Ibišková</t>
  </si>
  <si>
    <t>ČOV - mzdy zaměstnanců</t>
  </si>
  <si>
    <t>ČOV - dohoda o provedení práce</t>
  </si>
  <si>
    <t>ČOV - sociální pojištění</t>
  </si>
  <si>
    <t>ČOV - zdravotní pojištění</t>
  </si>
  <si>
    <t>ČOV - materiál, chemie</t>
  </si>
  <si>
    <t>ČOV - elektřina</t>
  </si>
  <si>
    <t>ČOV - voda na oplachy</t>
  </si>
  <si>
    <t>ČOV - služby souvisejí s provozem</t>
  </si>
  <si>
    <t>ČOV - opravy a údržba</t>
  </si>
  <si>
    <t>ČOV - poplatek živ. Prostředí</t>
  </si>
  <si>
    <t>ČOV - stavba</t>
  </si>
  <si>
    <t>Opravy a udržování - rybník, Sibřinský potok</t>
  </si>
  <si>
    <t>Lávky pro pěší nad vodními toky</t>
  </si>
  <si>
    <t>PD na lávky: Proutnice; Odlehčovačka; Květinová louka; Kontryhelová; Devětsilová; Lávka po hladině</t>
  </si>
  <si>
    <t>MŠ - drobný hmotmý dlouhodobý majetek</t>
  </si>
  <si>
    <t>MŠ - nákup materiálu jinde neuvedený</t>
  </si>
  <si>
    <t>MŠ - plyn</t>
  </si>
  <si>
    <t>MŠ - nákup ostatních služeb</t>
  </si>
  <si>
    <t>MŠ - pohoštění</t>
  </si>
  <si>
    <t>MŠ elelktřina</t>
  </si>
  <si>
    <t>MŠ telefon</t>
  </si>
  <si>
    <t>MŠ - neinvestiční příspěvky vlastní MŠ</t>
  </si>
  <si>
    <t>MŠ - budovy, haly a stavby</t>
  </si>
  <si>
    <t>PD - MŠ, nová třída a podpůrné prostory</t>
  </si>
  <si>
    <t>ZŠ - učebny Jirny</t>
  </si>
  <si>
    <t>ZŠ - studie škola v Květnici</t>
  </si>
  <si>
    <t>Základní škola - podíl na ZŠ v Úvalech</t>
  </si>
  <si>
    <t>Provozní náklady ZŠ</t>
  </si>
  <si>
    <t>Oprava prostoru u pomníku</t>
  </si>
  <si>
    <t>Kulturní akce - materiál</t>
  </si>
  <si>
    <t>Kulturní akce - služby, kino</t>
  </si>
  <si>
    <t>Kulturní akce - pohoštění</t>
  </si>
  <si>
    <t>Kulturní akce - věcné dary</t>
  </si>
  <si>
    <t>Nákup materiálu jinde neuvedený</t>
  </si>
  <si>
    <t>Dětská hřiště - služby, revize</t>
  </si>
  <si>
    <t>Sportoviště</t>
  </si>
  <si>
    <t>Pobytové schodiště u ping-pongu; Sportovní centrum</t>
  </si>
  <si>
    <t>Vybavení sportoviště, dět.hřiště, agility</t>
  </si>
  <si>
    <t>Nákup ostatních služeb</t>
  </si>
  <si>
    <t>Opravy a udržování - rybárna,nebyt.prostor</t>
  </si>
  <si>
    <t>Rybárna - rozšíření, zateplení</t>
  </si>
  <si>
    <t>VO - elektrická energie</t>
  </si>
  <si>
    <t>VO - opravy a udržování</t>
  </si>
  <si>
    <t>Výměna za LED řešení</t>
  </si>
  <si>
    <t xml:space="preserve">VO - stavba - V Zelených </t>
  </si>
  <si>
    <t>VO v Zelených</t>
  </si>
  <si>
    <t>Nákup ostatních služeb - územní plán</t>
  </si>
  <si>
    <t>Nákup ostatních služeb - komunální služby</t>
  </si>
  <si>
    <t xml:space="preserve">Fotovoltaika </t>
  </si>
  <si>
    <t>PD - fotovoltaika</t>
  </si>
  <si>
    <t>Revitalizace veřejných prostranství</t>
  </si>
  <si>
    <t>Nákup pozemků</t>
  </si>
  <si>
    <t>Výkupy pozemků</t>
  </si>
  <si>
    <t>Nebezpečný odpad</t>
  </si>
  <si>
    <t>Popelnice - odvoz</t>
  </si>
  <si>
    <t>Separovaný odpad</t>
  </si>
  <si>
    <t>BIO odpad</t>
  </si>
  <si>
    <t>Kontejnery, sběrný dvůr</t>
  </si>
  <si>
    <t>DHDM - péče o veřejnou zeleň</t>
  </si>
  <si>
    <t xml:space="preserve">Nákup materiálu </t>
  </si>
  <si>
    <t>Pohonné hmoty a maziva</t>
  </si>
  <si>
    <t>Údržba zeleně</t>
  </si>
  <si>
    <t xml:space="preserve">Budovy, haly a stavby </t>
  </si>
  <si>
    <r>
      <rPr>
        <sz val="10"/>
        <color rgb="FF00B050"/>
        <rFont val="Arial"/>
        <family val="2"/>
        <charset val="238"/>
      </rPr>
      <t xml:space="preserve">Pěší cesta od ul. Vlaštovičníková ke hřišti; Revitalizace kopce; </t>
    </r>
    <r>
      <rPr>
        <sz val="10"/>
        <color rgb="FFFF0000"/>
        <rFont val="Arial"/>
        <family val="2"/>
        <charset val="238"/>
      </rPr>
      <t xml:space="preserve">Panelová cesta k ČOV = VO; </t>
    </r>
  </si>
  <si>
    <t xml:space="preserve">Stroje, přístroje a zařízení </t>
  </si>
  <si>
    <t xml:space="preserve">Zametač a další příslušenství k traktoru? </t>
  </si>
  <si>
    <t>Hasiči - drobný hm. dl. majetek</t>
  </si>
  <si>
    <t>Hasiči - materiál</t>
  </si>
  <si>
    <t>Hasiči - PHM</t>
  </si>
  <si>
    <t>Hasiči - pojistka</t>
  </si>
  <si>
    <t>Hasiči - školení</t>
  </si>
  <si>
    <t>Hasiči - opravy a udržování</t>
  </si>
  <si>
    <t>Hasiči - příspěvek</t>
  </si>
  <si>
    <t>Rekonstrukce hasičárny</t>
  </si>
  <si>
    <t>PD hasičárna u ČOV</t>
  </si>
  <si>
    <t>Zastupitelé odměny</t>
  </si>
  <si>
    <t>Zvýšeno z důvodu novely zákona o odměňování</t>
  </si>
  <si>
    <t>Zastupitelé - odchodné</t>
  </si>
  <si>
    <t>Zastupitelé - SP</t>
  </si>
  <si>
    <t>Zastupitelé - ZP</t>
  </si>
  <si>
    <t>611*</t>
  </si>
  <si>
    <t>Volby - odměny</t>
  </si>
  <si>
    <t>Volby - jídlo</t>
  </si>
  <si>
    <t>OÚ - mzdy zaměstnanci</t>
  </si>
  <si>
    <t>OÚ - dohody o prov.práce</t>
  </si>
  <si>
    <t>OÚ - SP zaměstnanci</t>
  </si>
  <si>
    <t>OÚ - ZP zaměstnanci</t>
  </si>
  <si>
    <t>OÚ - zákonné pojištění zaměstnanců</t>
  </si>
  <si>
    <t>OÚ - DDHM</t>
  </si>
  <si>
    <t>OÚ - čist., kanc.potřeby</t>
  </si>
  <si>
    <t>OÚ - vodné</t>
  </si>
  <si>
    <t>OÚ - plyn</t>
  </si>
  <si>
    <t>OÚ - elektřina</t>
  </si>
  <si>
    <t>OÚ - poštovné</t>
  </si>
  <si>
    <t>OÚ - telefon, internet</t>
  </si>
  <si>
    <t>OÚ - pojistky</t>
  </si>
  <si>
    <t>OÚ - právní, konzultační služby</t>
  </si>
  <si>
    <t>OÚ - školení</t>
  </si>
  <si>
    <t>OÚ - zpracování dat, aktualizace programů</t>
  </si>
  <si>
    <t xml:space="preserve">OÚ - služby </t>
  </si>
  <si>
    <t>OÚ - opravy a udržování</t>
  </si>
  <si>
    <t>OÚ - programové vybavení</t>
  </si>
  <si>
    <t>OÚ - cestovné</t>
  </si>
  <si>
    <t>OÚ - občerstvení</t>
  </si>
  <si>
    <t>Neinvestiční transfery nezisk. org.</t>
  </si>
  <si>
    <t>Služby městské policie dle smlouvy</t>
  </si>
  <si>
    <t>Ostatní neinv. transfery - Povýmolí - smlouva</t>
  </si>
  <si>
    <t>OÚ - vratka trnsferu</t>
  </si>
  <si>
    <t>Dary FO</t>
  </si>
  <si>
    <t xml:space="preserve">Budovy, haly a stavby - revitalizace OÚ </t>
  </si>
  <si>
    <t>Dočasné zajištění úřadu 2600000 (včetně PD); Statika na PD na multifunkční sál</t>
  </si>
  <si>
    <t>OÚ - stroje, přístroje</t>
  </si>
  <si>
    <t>Úroky z úvěru</t>
  </si>
  <si>
    <t>Služby peněžních ústavů</t>
  </si>
  <si>
    <t>Platba DPH</t>
  </si>
  <si>
    <t>Platby daní a poplatků státnímu rozpočtu</t>
  </si>
  <si>
    <t>Výdaje celkem</t>
  </si>
  <si>
    <t>Běžné výdaje</t>
  </si>
  <si>
    <t>Kapitálové výdaje</t>
  </si>
  <si>
    <t>Financování</t>
  </si>
  <si>
    <t>Splátka úvěru</t>
  </si>
  <si>
    <t>Výdaje celkem v Kč</t>
  </si>
  <si>
    <t>Jméno a Příjmení</t>
  </si>
  <si>
    <t>Hrubá</t>
  </si>
  <si>
    <t>Zaměstnanec</t>
  </si>
  <si>
    <t>Zaměstnavatel</t>
  </si>
  <si>
    <t>SHM</t>
  </si>
  <si>
    <t>Srážk.daň</t>
  </si>
  <si>
    <t>Z.daň</t>
  </si>
  <si>
    <t>Č. mzda</t>
  </si>
  <si>
    <t>KB</t>
  </si>
  <si>
    <t>mzda</t>
  </si>
  <si>
    <t>ZP 4,5%</t>
  </si>
  <si>
    <t>SP 6,5%</t>
  </si>
  <si>
    <t>ZP 9%</t>
  </si>
  <si>
    <t>SP 25%</t>
  </si>
  <si>
    <t xml:space="preserve"> = B+E+F</t>
  </si>
  <si>
    <t>Sl.na dani</t>
  </si>
  <si>
    <t xml:space="preserve"> = B-C-D-I</t>
  </si>
  <si>
    <t>Ing. Jiří Prouza</t>
  </si>
  <si>
    <t>Ing. Markéta Štrosová</t>
  </si>
  <si>
    <t>Ing. Milan Polívka</t>
  </si>
  <si>
    <t>Tomáš Hordějčuk</t>
  </si>
  <si>
    <t>Ing. František Daniel</t>
  </si>
  <si>
    <t>Kryštof Hošek</t>
  </si>
  <si>
    <t>Celkem ZOK v Kč</t>
  </si>
  <si>
    <t>Houžvičková ZP</t>
  </si>
  <si>
    <t>Veselý</t>
  </si>
  <si>
    <t>Houžvičková DPP</t>
  </si>
  <si>
    <t>Ing. Fr.Daniel kanalizace DPP</t>
  </si>
  <si>
    <t>Ostatní DPP</t>
  </si>
  <si>
    <t>Kolář DPP</t>
  </si>
  <si>
    <t>zastupitelstvo ZOK</t>
  </si>
  <si>
    <t>ZOK - SP</t>
  </si>
  <si>
    <t>ZOK - ZP</t>
  </si>
  <si>
    <t>zam. OU mzdy</t>
  </si>
  <si>
    <t>zam. OU - ZP</t>
  </si>
  <si>
    <t>zam. OU - OSSZ</t>
  </si>
  <si>
    <t>dohody DPP pro kanalizaci</t>
  </si>
  <si>
    <t>Daniel</t>
  </si>
  <si>
    <t>dohody DPP pro OU</t>
  </si>
  <si>
    <t>FU Brandýs n./L.</t>
  </si>
  <si>
    <t>Číslo účtu FU</t>
  </si>
  <si>
    <t>Daň z příjmu FO záv.činnost</t>
  </si>
  <si>
    <t>2612 + 4634</t>
  </si>
  <si>
    <t>1652+1628</t>
  </si>
  <si>
    <t>Daň z příjmů FO z kapit.výnosů</t>
  </si>
  <si>
    <t>Lokalita Racek</t>
  </si>
  <si>
    <t>č.poz.</t>
  </si>
  <si>
    <t>plocha v m2</t>
  </si>
  <si>
    <t>Kč/m2</t>
  </si>
  <si>
    <t xml:space="preserve">Celk.prodejní plocha </t>
  </si>
  <si>
    <t>1 až 23</t>
  </si>
  <si>
    <t>severní břeh</t>
  </si>
  <si>
    <t>travnatá cesta</t>
  </si>
  <si>
    <t>travnatý růžek</t>
  </si>
  <si>
    <t>cesta</t>
  </si>
  <si>
    <t>komunikace</t>
  </si>
  <si>
    <t xml:space="preserve">Celkem </t>
  </si>
  <si>
    <t>z toho</t>
  </si>
  <si>
    <t>vozovka</t>
  </si>
  <si>
    <t>odstavná plocha</t>
  </si>
  <si>
    <t>Stočné v obci Květnice</t>
  </si>
  <si>
    <t>Skut. 2015</t>
  </si>
  <si>
    <t>Cena B 2015</t>
  </si>
  <si>
    <t>Cena 2016</t>
  </si>
  <si>
    <t>Cena B 2016</t>
  </si>
  <si>
    <t>CENA 2017</t>
  </si>
  <si>
    <t>Poznámky k roku 2016</t>
  </si>
  <si>
    <t>Cena vypočtena pro lokalitu</t>
  </si>
  <si>
    <t>OBEC</t>
  </si>
  <si>
    <t>RACEK</t>
  </si>
  <si>
    <t>Elektrická energie</t>
  </si>
  <si>
    <t>Posílení dmychadel na ČOV</t>
  </si>
  <si>
    <t>Platby provozovateli ČOV (12*72 tis.Kč)</t>
  </si>
  <si>
    <t>Nákup ostatních služeb od VHS - KH - odečty</t>
  </si>
  <si>
    <t>Platby za odečty vodoměrů</t>
  </si>
  <si>
    <t>Opravy a údržba ČOV+páteřní kanalizace</t>
  </si>
  <si>
    <t>Drobná plánovaná údržba</t>
  </si>
  <si>
    <t>Org. živ. prostředí za vypouštěnou vodu</t>
  </si>
  <si>
    <t>Odpisy a prostředky obnovy - ČOV</t>
  </si>
  <si>
    <t>Zde jsou započítány pouze odpisy ČOV</t>
  </si>
  <si>
    <t>Správní režie - fakturace</t>
  </si>
  <si>
    <t>Fakturuje obec koncovému producentu odpadu</t>
  </si>
  <si>
    <t>Dotace ceny z obecního rozpočtu v Kč</t>
  </si>
  <si>
    <t>Celkem náklady na provoz ČOV bez DPH</t>
  </si>
  <si>
    <t xml:space="preserve">Odpadní voda v m3 </t>
  </si>
  <si>
    <t>Nárůst (20obyv*36m3=720m3/rok při100l/den)</t>
  </si>
  <si>
    <t>Náklady na 1 m3 bez DPH</t>
  </si>
  <si>
    <t>Cena stočného v Kč včetně DPH</t>
  </si>
  <si>
    <t>Fakturovaná cena stočného v daném roce</t>
  </si>
  <si>
    <t>v m3</t>
  </si>
  <si>
    <t>Celkové příjmy ze stočného za rok 2015 jsou 2.668.059 Kč při ceně 36m3/1m3, včetně DPH</t>
  </si>
  <si>
    <t>četnost</t>
  </si>
  <si>
    <t>počet</t>
  </si>
  <si>
    <t>ASA</t>
  </si>
  <si>
    <t>vč. DPH</t>
  </si>
  <si>
    <t>poplatek</t>
  </si>
  <si>
    <t>náklady</t>
  </si>
  <si>
    <t>příjmy</t>
  </si>
  <si>
    <t>jednorázový svoz</t>
  </si>
  <si>
    <t>pytel</t>
  </si>
  <si>
    <t>1x týdně</t>
  </si>
  <si>
    <t>1x za 14 dní</t>
  </si>
  <si>
    <t>bio 120</t>
  </si>
  <si>
    <t>bio 240</t>
  </si>
  <si>
    <t>Tříděný odpad - Květnice</t>
  </si>
  <si>
    <t>papír</t>
  </si>
  <si>
    <t>sklo</t>
  </si>
  <si>
    <t>1x měsíčně</t>
  </si>
  <si>
    <t>2x měsíčně</t>
  </si>
  <si>
    <t>Tetrapack</t>
  </si>
  <si>
    <t>plast</t>
  </si>
  <si>
    <t>2x týdně</t>
  </si>
  <si>
    <t>senioři</t>
  </si>
  <si>
    <t>sběrný dvůr</t>
  </si>
  <si>
    <t>ECOKOM</t>
  </si>
  <si>
    <t>velkoobjemové</t>
  </si>
  <si>
    <t>textil</t>
  </si>
  <si>
    <t>Dluh obce Květnice vůči paní Řehákové a PD</t>
  </si>
  <si>
    <t>k 31.3.2013</t>
  </si>
  <si>
    <t>Výše částky v Kč od - do:</t>
  </si>
  <si>
    <t>% úrok</t>
  </si>
  <si>
    <t>Dní</t>
  </si>
  <si>
    <t>Kč úrok</t>
  </si>
  <si>
    <t>do 30.4.2013</t>
  </si>
  <si>
    <t>částka v Kč</t>
  </si>
  <si>
    <t xml:space="preserve">účet číslo </t>
  </si>
  <si>
    <t>var.symbol</t>
  </si>
  <si>
    <t>spec.symbol</t>
  </si>
  <si>
    <t>PD</t>
  </si>
  <si>
    <t>1070000158/2200</t>
  </si>
  <si>
    <t>00640042</t>
  </si>
  <si>
    <t>Řeháková</t>
  </si>
  <si>
    <t>2138284113/0800</t>
  </si>
  <si>
    <t>Náklady řízení - JUDr. Vernera</t>
  </si>
  <si>
    <t>k 1.3.2013</t>
  </si>
  <si>
    <t>Úvěr na</t>
  </si>
  <si>
    <t>zbývá</t>
  </si>
  <si>
    <t>Na účet číslo</t>
  </si>
  <si>
    <t>Kód banky</t>
  </si>
  <si>
    <t>Částka</t>
  </si>
  <si>
    <t>Jméno</t>
  </si>
  <si>
    <t>0800</t>
  </si>
  <si>
    <t>0300</t>
  </si>
  <si>
    <t>Verner</t>
  </si>
  <si>
    <t>výše úvěru v Kč</t>
  </si>
  <si>
    <t>p.měs.</t>
  </si>
  <si>
    <t>úrok</t>
  </si>
  <si>
    <t>splátka v Kč</t>
  </si>
  <si>
    <t>celkem v Kč</t>
  </si>
  <si>
    <t>z toho úroky</t>
  </si>
  <si>
    <t>Dluh</t>
  </si>
  <si>
    <t>zůstatek</t>
  </si>
  <si>
    <t>Úvěr KB</t>
  </si>
  <si>
    <t>Úvěr PD</t>
  </si>
  <si>
    <t>k 30.4.2013</t>
  </si>
  <si>
    <t>Úvěr GE MB</t>
  </si>
  <si>
    <t>Splátkový kalendář úvěru pro obec Květnice od KB</t>
  </si>
  <si>
    <t>celkový úrok</t>
  </si>
  <si>
    <t xml:space="preserve">Objem úvěru : </t>
  </si>
  <si>
    <t xml:space="preserve">Úroková sazba : </t>
  </si>
  <si>
    <t>celkrm v Kč</t>
  </si>
  <si>
    <t>měsíc</t>
  </si>
  <si>
    <t>jistina na začátku období</t>
  </si>
  <si>
    <t>nové čerpání</t>
  </si>
  <si>
    <t>splátky jistiny</t>
  </si>
  <si>
    <t>placené úroky</t>
  </si>
  <si>
    <t>jistina na konci období</t>
  </si>
  <si>
    <t>splátky jistiny za rok</t>
  </si>
  <si>
    <t>placené úroky za rok</t>
  </si>
  <si>
    <t>celkem za rok</t>
  </si>
  <si>
    <t>Úvěr na ČOV</t>
  </si>
  <si>
    <t xml:space="preserve">- </t>
  </si>
  <si>
    <t>úrok v tis. Kč</t>
  </si>
  <si>
    <t>rok</t>
  </si>
  <si>
    <t>měsíční splátka</t>
  </si>
  <si>
    <t>doplatit</t>
  </si>
  <si>
    <t>19.7.</t>
  </si>
  <si>
    <t>31.1.</t>
  </si>
  <si>
    <t>28.2.</t>
  </si>
  <si>
    <t>1.3.</t>
  </si>
  <si>
    <t>31.3.</t>
  </si>
  <si>
    <t>1.4.</t>
  </si>
  <si>
    <t>30.4.</t>
  </si>
  <si>
    <t>1.5.</t>
  </si>
  <si>
    <t>31.5.</t>
  </si>
  <si>
    <t>1.6.</t>
  </si>
  <si>
    <t>30.6.</t>
  </si>
  <si>
    <t>1.7.</t>
  </si>
  <si>
    <t>31.7.</t>
  </si>
  <si>
    <t>1.8.</t>
  </si>
  <si>
    <t>31.8.</t>
  </si>
  <si>
    <t>1.9.</t>
  </si>
  <si>
    <t>30.9.</t>
  </si>
  <si>
    <t>1.10.</t>
  </si>
  <si>
    <t>31.10.</t>
  </si>
  <si>
    <t>1.11.</t>
  </si>
  <si>
    <t>30.11.</t>
  </si>
  <si>
    <t>1.12.</t>
  </si>
  <si>
    <t>31.12.</t>
  </si>
  <si>
    <t>2019 i s úroky celkem</t>
  </si>
  <si>
    <t>Délky komunikací na pův. parc. 560/1</t>
  </si>
  <si>
    <t>Délky komunikací Za Mlýnem</t>
  </si>
  <si>
    <t xml:space="preserve"> (Nad Vesným rybníkem)</t>
  </si>
  <si>
    <t xml:space="preserve"> (severně od mlýna až k ŘRD u autobus. zastávky)</t>
  </si>
  <si>
    <t>Komunikace</t>
  </si>
  <si>
    <t>Délka v m</t>
  </si>
  <si>
    <t>K Sibřině (celá komunikace III. třídy)</t>
  </si>
  <si>
    <t>Šťovíková</t>
  </si>
  <si>
    <t>Za Mlýnem</t>
  </si>
  <si>
    <t>Kosmatcová</t>
  </si>
  <si>
    <t>Vlaštovičníková</t>
  </si>
  <si>
    <t>Řebříčková</t>
  </si>
  <si>
    <t>Rezedová</t>
  </si>
  <si>
    <t>Ohnicová</t>
  </si>
  <si>
    <t>Zázvorová</t>
  </si>
  <si>
    <t>Šťavelová</t>
  </si>
  <si>
    <t>Rulíková</t>
  </si>
  <si>
    <t>Svízelová</t>
  </si>
  <si>
    <t>Hořcová</t>
  </si>
  <si>
    <t>Mařinková</t>
  </si>
  <si>
    <t>Sosnová</t>
  </si>
  <si>
    <t>Krokusová</t>
  </si>
  <si>
    <t>Vojtěšková</t>
  </si>
  <si>
    <t>ŘRD</t>
  </si>
  <si>
    <t>Balzamínová</t>
  </si>
  <si>
    <t>Ibišková</t>
  </si>
  <si>
    <t>Délky komunikací na pův. parc. 562/1</t>
  </si>
  <si>
    <t>Čtyřlístková</t>
  </si>
  <si>
    <t xml:space="preserve"> (U Statku)</t>
  </si>
  <si>
    <t>Délky komunikací V Zelených</t>
  </si>
  <si>
    <t xml:space="preserve"> (Až k odb. do Sluštic)</t>
  </si>
  <si>
    <t>Koniklecová</t>
  </si>
  <si>
    <t>Čekanková</t>
  </si>
  <si>
    <t>V Zelených (celá komunikace III. třídy)</t>
  </si>
  <si>
    <t>Lékořicová</t>
  </si>
  <si>
    <t>Bedrníková</t>
  </si>
  <si>
    <t>Řepíková</t>
  </si>
  <si>
    <t>Brusnicová</t>
  </si>
  <si>
    <t>Bledulková</t>
  </si>
  <si>
    <t>Brčálová</t>
  </si>
  <si>
    <t>Barvínková</t>
  </si>
  <si>
    <t>Celkem lokality 560+562</t>
  </si>
  <si>
    <t>Orchidejová</t>
  </si>
  <si>
    <t>Délky komunikací Květnice I</t>
  </si>
  <si>
    <t>Délky komunikací Na Ladech + Květnice III</t>
  </si>
  <si>
    <t xml:space="preserve"> (K Dobročovicům a přilehlé ulice)</t>
  </si>
  <si>
    <t xml:space="preserve"> (Severní část u síl. Rohožník+jižní část Na Ladech 2)</t>
  </si>
  <si>
    <t>K Dobročovicům (celá komunikace III. třídy)</t>
  </si>
  <si>
    <t>Na Ladech (celá komunikace III. třídy)</t>
  </si>
  <si>
    <t>Do Průhonu</t>
  </si>
  <si>
    <t>Vřesová</t>
  </si>
  <si>
    <t>Ke tvrzi</t>
  </si>
  <si>
    <t>Diviznová</t>
  </si>
  <si>
    <t>Nad Proutnicí</t>
  </si>
  <si>
    <t>Svlačcová</t>
  </si>
  <si>
    <t>Návesní</t>
  </si>
  <si>
    <t>Modřencová</t>
  </si>
  <si>
    <t>U Průhonu (Kulič)</t>
  </si>
  <si>
    <t>Na Ladech 2 (jižně od Vřesové)</t>
  </si>
  <si>
    <t>Nad rybníkem (Racek)</t>
  </si>
  <si>
    <t>Celkem 46 ulic</t>
  </si>
  <si>
    <t>Celkem zbytek Květnice mimo lokality 560+562</t>
  </si>
  <si>
    <t>Celá Květnice (vč. komunikací III. třídy)</t>
  </si>
  <si>
    <t>VO - lokalita Květnice II</t>
  </si>
  <si>
    <t xml:space="preserve">Položkový rozpočet na akci Dokončení veřejného osvětlení v obci Květnice – lokalita Květnice II </t>
  </si>
  <si>
    <t>Počet ks</t>
  </si>
  <si>
    <t>Jedn.cena v Kč bez DPH</t>
  </si>
  <si>
    <t>Celkem v Kč           bez DPH</t>
  </si>
  <si>
    <t>Lokalita</t>
  </si>
  <si>
    <t>Název ulice</t>
  </si>
  <si>
    <t>ks</t>
  </si>
  <si>
    <t>Větev</t>
  </si>
  <si>
    <t>Typ stožáru</t>
  </si>
  <si>
    <t>Výbojka</t>
  </si>
  <si>
    <t>Typ 1</t>
  </si>
  <si>
    <t>Typ 2</t>
  </si>
  <si>
    <t>Typ 3</t>
  </si>
  <si>
    <t>Přípravné práce</t>
  </si>
  <si>
    <t>Devětsilová V</t>
  </si>
  <si>
    <t>B</t>
  </si>
  <si>
    <t>bezpatkový 8 m</t>
  </si>
  <si>
    <t>NAV - E 50W</t>
  </si>
  <si>
    <t>Zjištění stavu - vyhledání a proměření zakrytých vývodů kabelů - v hod.</t>
  </si>
  <si>
    <t>Celkem z 1</t>
  </si>
  <si>
    <t>Geodetické vytyčení patek stožárů VO - ks</t>
  </si>
  <si>
    <t>sever</t>
  </si>
  <si>
    <t>bezpatkový 6 m</t>
  </si>
  <si>
    <t>Projekt pro realizaci</t>
  </si>
  <si>
    <t>Celkem z 2</t>
  </si>
  <si>
    <t>Náklady na VŘ zhotovitele</t>
  </si>
  <si>
    <t>Ohnicová V</t>
  </si>
  <si>
    <t>P</t>
  </si>
  <si>
    <t xml:space="preserve">Zemní práce </t>
  </si>
  <si>
    <t>Ohnicová Z</t>
  </si>
  <si>
    <t>N</t>
  </si>
  <si>
    <t>výkop jam pro patky m3</t>
  </si>
  <si>
    <t>Celkem z 3</t>
  </si>
  <si>
    <t>výkop rýh pro obnažení kabelů v m3</t>
  </si>
  <si>
    <t xml:space="preserve">Cesta spojka </t>
  </si>
  <si>
    <t>mezi B a I</t>
  </si>
  <si>
    <t>zásyp jam a rýh v m3</t>
  </si>
  <si>
    <t>I</t>
  </si>
  <si>
    <t>rozprostření přebytečné zeminy v m3</t>
  </si>
  <si>
    <t>E</t>
  </si>
  <si>
    <t>ztracené bednění pro osazení sloupu z trub PVC 200 - dodávka v m</t>
  </si>
  <si>
    <t>Celkem z 4</t>
  </si>
  <si>
    <t>ztracené bednění pro osazení sloupu z trub PVC 200 - montáž v m</t>
  </si>
  <si>
    <t>D</t>
  </si>
  <si>
    <t>betonáž základových patek v m3</t>
  </si>
  <si>
    <t>mezi C a D</t>
  </si>
  <si>
    <t>Dodávka a montáž VO</t>
  </si>
  <si>
    <t>C</t>
  </si>
  <si>
    <t xml:space="preserve">Svítidlo ATOS/1x50W/SON-T/A2 </t>
  </si>
  <si>
    <t>Muškátová</t>
  </si>
  <si>
    <t>F</t>
  </si>
  <si>
    <t xml:space="preserve">Stožár typ KL v =5m , 133/60mm žárový zinek </t>
  </si>
  <si>
    <t>G</t>
  </si>
  <si>
    <t>Svorkovnice stožáru</t>
  </si>
  <si>
    <t>Celkem z 5</t>
  </si>
  <si>
    <t>Kabel AYKY 4 x 16</t>
  </si>
  <si>
    <t>Řebříčková J</t>
  </si>
  <si>
    <t>O</t>
  </si>
  <si>
    <t xml:space="preserve">Zemnící drát FeZn 10 </t>
  </si>
  <si>
    <t>Řebříčková S</t>
  </si>
  <si>
    <t>J</t>
  </si>
  <si>
    <t xml:space="preserve">Svorka MV </t>
  </si>
  <si>
    <t>M</t>
  </si>
  <si>
    <t xml:space="preserve">Svorka připojovací </t>
  </si>
  <si>
    <t>L</t>
  </si>
  <si>
    <t>Výstražná folie el.</t>
  </si>
  <si>
    <t>K</t>
  </si>
  <si>
    <t xml:space="preserve">Chránička KOPOFLEX typ KF 09090 </t>
  </si>
  <si>
    <t>Celkem z 6</t>
  </si>
  <si>
    <t>Ostatní drobný montážní materiál</t>
  </si>
  <si>
    <t>Celkový součet</t>
  </si>
  <si>
    <t>Oprava poškozených kabelů včetně spojkování v ks</t>
  </si>
  <si>
    <t>Montáž</t>
  </si>
  <si>
    <t>Poznámka:</t>
  </si>
  <si>
    <t>Doprava materiálu na stavbu včetně stožárů VO</t>
  </si>
  <si>
    <t>Není třeba spojkovat kabeláž</t>
  </si>
  <si>
    <t>Revize</t>
  </si>
  <si>
    <t>Je nutno naspojkovat kabel/zemnicí drát</t>
  </si>
  <si>
    <t>Projekt skutečného provedení včetně geometrického zaměření</t>
  </si>
  <si>
    <t>Nenalezen - nutno vyhledat a naspojkovat</t>
  </si>
  <si>
    <t>Cena celkem bez DPH v Kč</t>
  </si>
  <si>
    <t>DPH 21% celkem v Kč</t>
  </si>
  <si>
    <t>Celková cena včetně DPH v Kč</t>
  </si>
  <si>
    <t>TDI včetně DPH</t>
  </si>
  <si>
    <t>Celkem včetně DPH</t>
  </si>
  <si>
    <t>Požádáno o dotaci ve výši 95% z celkových nákladů - tj.</t>
  </si>
  <si>
    <t>ze Středočeského fondu rozvoje obcí a měst na rok 2014</t>
  </si>
  <si>
    <t>Přehled nádob na domovní odpad - Květnice</t>
  </si>
  <si>
    <t>4.Q. 2012</t>
  </si>
  <si>
    <t>1.Q. 2013</t>
  </si>
  <si>
    <t>2.Q. 2013</t>
  </si>
  <si>
    <t>3.Q. 2013</t>
  </si>
  <si>
    <t>4.Q. 2013</t>
  </si>
  <si>
    <t>1.Q. 2014</t>
  </si>
  <si>
    <t>2.Q. 2014</t>
  </si>
  <si>
    <t>3.Q. 2014</t>
  </si>
  <si>
    <t>4.Q. 2014</t>
  </si>
  <si>
    <t>ASA 2014 bez DPH</t>
  </si>
  <si>
    <t>včetně DPH 15%</t>
  </si>
  <si>
    <t>prům. počet</t>
  </si>
  <si>
    <t>Poplatek na rok 2014</t>
  </si>
  <si>
    <t>Přehled nádob na tříděný odpad - Květnice</t>
  </si>
  <si>
    <t>bez DPH</t>
  </si>
  <si>
    <t>tetrapak</t>
  </si>
  <si>
    <t>V roce 2012 nebude účtován poplatek za</t>
  </si>
  <si>
    <t>OK</t>
  </si>
  <si>
    <t>popolnice 2014</t>
  </si>
  <si>
    <t>jednorázově</t>
  </si>
  <si>
    <t>Revitalizace hráze</t>
  </si>
  <si>
    <t>datum</t>
  </si>
  <si>
    <t xml:space="preserve">převod </t>
  </si>
  <si>
    <t>vl. náklady</t>
  </si>
  <si>
    <t>jak</t>
  </si>
  <si>
    <t>doklad</t>
  </si>
  <si>
    <t>text</t>
  </si>
  <si>
    <t>banka</t>
  </si>
  <si>
    <t>projekt</t>
  </si>
  <si>
    <t>stromy 20ks</t>
  </si>
  <si>
    <t>traktor</t>
  </si>
  <si>
    <t>traktorbagrování hráze</t>
  </si>
  <si>
    <t>zemní práce, oprava potrubí</t>
  </si>
  <si>
    <t>hotově</t>
  </si>
  <si>
    <t>práce autojeřábem</t>
  </si>
  <si>
    <t>kameny</t>
  </si>
  <si>
    <t>cestovné</t>
  </si>
  <si>
    <t>dopravné kameny</t>
  </si>
  <si>
    <t>oprava výpustě</t>
  </si>
  <si>
    <t>odvoz zeminy</t>
  </si>
  <si>
    <t>admi.projektu</t>
  </si>
  <si>
    <t>r. 2012</t>
  </si>
  <si>
    <t>převoz schodů</t>
  </si>
  <si>
    <t>FD č.49 projekt zeleň</t>
  </si>
  <si>
    <t>zemní práce</t>
  </si>
  <si>
    <t>stromy, osivo, dozor</t>
  </si>
  <si>
    <t>dohled na realizací 3-5/2013</t>
  </si>
  <si>
    <t>lavičky nákup, instalace</t>
  </si>
  <si>
    <t>schody</t>
  </si>
  <si>
    <t>výroba a montáž zábradlí</t>
  </si>
  <si>
    <t>odpadkové koše</t>
  </si>
  <si>
    <t>r.2013</t>
  </si>
  <si>
    <t>Oprava komunikace v ul. Šťovíková po povodních - celkem</t>
  </si>
  <si>
    <t>m2</t>
  </si>
  <si>
    <t>Trasa 1 - od ulice K Sibřině po křižovatku s ul. Čekanková - celkem 190 m, šířka 6 m</t>
  </si>
  <si>
    <t>Trasa 2 - od ulice Čekanková po křižovatku s ul. Kontryhelová - celkem 85 m, šířka 6 m</t>
  </si>
  <si>
    <t>Trasa 3 - od ulice Kontryhelová po křižovatku s ul. Devětsilová - celkem 442 m, šířka 3,5 m</t>
  </si>
  <si>
    <t>Nabídkové ceny jsou bez DPH v Kč</t>
  </si>
  <si>
    <t>Dodavatel</t>
  </si>
  <si>
    <t>TRASA 1</t>
  </si>
  <si>
    <t>TRASA 2</t>
  </si>
  <si>
    <t>TRASA 3</t>
  </si>
  <si>
    <t>Celk. v Kč</t>
  </si>
  <si>
    <t>FAVAZ s.r.o.</t>
  </si>
  <si>
    <t>TRAMES, s.r.o.</t>
  </si>
  <si>
    <t>HOVORKA</t>
  </si>
  <si>
    <t>Ceny s daní - přenesená daňová povinnost u kanalizace obce !!</t>
  </si>
  <si>
    <t>DPH 21%</t>
  </si>
  <si>
    <t xml:space="preserve">TRASA1+2 celkem </t>
  </si>
  <si>
    <t>TRASA 3 celkem</t>
  </si>
  <si>
    <t xml:space="preserve">Z toho vodovod </t>
  </si>
  <si>
    <t>Z toho kanalizace</t>
  </si>
  <si>
    <t>Z toho opr.komun.</t>
  </si>
  <si>
    <t>Osazení obrub</t>
  </si>
  <si>
    <t>Faktura k proplacení</t>
  </si>
  <si>
    <t>Doplatek - plocha</t>
  </si>
  <si>
    <t xml:space="preserve">Vytyčení obrubníků </t>
  </si>
  <si>
    <t>Dorovnání pláně</t>
  </si>
  <si>
    <t>Méněpráce</t>
  </si>
  <si>
    <t>Vícepráce</t>
  </si>
  <si>
    <t>úspora celkem</t>
  </si>
  <si>
    <t>ODMĚŇOVÁNÍ  ZASTUPITELSTVA  OBCE</t>
  </si>
  <si>
    <t>neuvolnění zastupitelé</t>
  </si>
  <si>
    <t>(pro obec nad 1000 a do 3000 obyvatel)</t>
  </si>
  <si>
    <t>Člen ZOK</t>
  </si>
  <si>
    <t>Finanční výbor</t>
  </si>
  <si>
    <t>Kontrolní výbor</t>
  </si>
  <si>
    <t>Výbor pro rozvoj a UP</t>
  </si>
  <si>
    <t>Měsíční odměny     v Kč</t>
  </si>
  <si>
    <t>Navrhovaná odměna ZOK</t>
  </si>
  <si>
    <t>Maximální možná hodnota od 1.1.2011</t>
  </si>
  <si>
    <t>základní odměna</t>
  </si>
  <si>
    <t>příplatek podle počtu obyvatel</t>
  </si>
  <si>
    <t>předseda výboru</t>
  </si>
  <si>
    <t>člen výboru</t>
  </si>
  <si>
    <t>starosta</t>
  </si>
  <si>
    <t>místostarosta</t>
  </si>
  <si>
    <t>člen zastupitelstva a předseda výboru</t>
  </si>
  <si>
    <t>člen zastupitelstva a výboru</t>
  </si>
  <si>
    <t>Smazat prázdnou položku? - ne je tam rozpočet 2023</t>
  </si>
  <si>
    <t xml:space="preserve">Služby - geodetická zaměření, žádosti o dotaci, </t>
  </si>
  <si>
    <r>
      <t>Tohle nevíme, jestli k tomu sedí - prosím o kontrolu Díky</t>
    </r>
    <r>
      <rPr>
        <sz val="10"/>
        <color rgb="FFFF0000"/>
        <rFont val="Arial"/>
        <family val="2"/>
        <charset val="238"/>
      </rPr>
      <t xml:space="preserve"> toto nebude za zastupitele se neplatí sociálka nejsou uvolněni</t>
    </r>
  </si>
  <si>
    <t>Navýšeno - dvě nové úřednice</t>
  </si>
  <si>
    <t>PD - úpravy Devětsilová vč. hnízda TO a přesun hnízda do ul. Do Průhonu, revitalizace kopce</t>
  </si>
  <si>
    <t>****</t>
  </si>
  <si>
    <t>Vodní hospodářství</t>
  </si>
  <si>
    <t>Odvádění a čištění odpadních vod</t>
  </si>
  <si>
    <t>Nebytové hospodářství</t>
  </si>
  <si>
    <t xml:space="preserve">Mateřská škola </t>
  </si>
  <si>
    <t>Komunální služby a územní rozvoj</t>
  </si>
  <si>
    <t>Využívání a zneškodňování kom.odpadů</t>
  </si>
  <si>
    <t>Využívání a zneškodňování ost.odpadů</t>
  </si>
  <si>
    <t>Činnost místní správy</t>
  </si>
  <si>
    <t>Obecné příjmy z fin. operací</t>
  </si>
  <si>
    <t>Silnice</t>
  </si>
  <si>
    <t>Ostatní záležitosti pozem.komunikací</t>
  </si>
  <si>
    <t>Provoz veřejné silniční dopravy</t>
  </si>
  <si>
    <t>Bezpečnost silničního provozu</t>
  </si>
  <si>
    <t>232*</t>
  </si>
  <si>
    <t>Revitalizace říčních systémů</t>
  </si>
  <si>
    <t>Mateřská škola</t>
  </si>
  <si>
    <t>Základní škola</t>
  </si>
  <si>
    <t>Obnova, zachování hodnot kult.hist.povědomí</t>
  </si>
  <si>
    <t>Záležitosti v oblasti kultury</t>
  </si>
  <si>
    <t>Veřejné osvětlení</t>
  </si>
  <si>
    <t>Územní plánování</t>
  </si>
  <si>
    <t>372*</t>
  </si>
  <si>
    <t>Nakládání s odpady</t>
  </si>
  <si>
    <t>Péče o vzhled obcí a veřejnou zeleň</t>
  </si>
  <si>
    <t>Sociální péče a pomoc</t>
  </si>
  <si>
    <t>Sociální pomoc a péče</t>
  </si>
  <si>
    <t>Připravenost na krizové stavy</t>
  </si>
  <si>
    <t>Požární ochrana - dobrovolná část</t>
  </si>
  <si>
    <t>***</t>
  </si>
  <si>
    <t>Volby</t>
  </si>
  <si>
    <t>Zastupitelstva obcí</t>
  </si>
  <si>
    <t>63**</t>
  </si>
  <si>
    <t>Finanční operace</t>
  </si>
  <si>
    <t>34**</t>
  </si>
  <si>
    <t>Sport a zájmová činnost</t>
  </si>
  <si>
    <t>Rozpočet 2024</t>
  </si>
  <si>
    <t>ZŠ - provoz</t>
  </si>
  <si>
    <t>Rozpočet 2024 - výdaje</t>
  </si>
  <si>
    <t>Ro č.1</t>
  </si>
  <si>
    <t>dotace kraj</t>
  </si>
  <si>
    <t>Schválený rozpočet</t>
  </si>
  <si>
    <t>Rozpočtové opatření č.1</t>
  </si>
  <si>
    <t>Kontejnery u ČOV skladovací</t>
  </si>
  <si>
    <t>RO č.2</t>
  </si>
  <si>
    <t>Rozpočtové opatření č.2</t>
  </si>
  <si>
    <t>odvod z technických her</t>
  </si>
  <si>
    <t>Neinvestiční příspěvky a náhrady</t>
  </si>
  <si>
    <t>Rybník studie</t>
  </si>
  <si>
    <t>Volby - materiál</t>
  </si>
  <si>
    <t>splátka úvěru</t>
  </si>
  <si>
    <t>výdaje + financování celkem</t>
  </si>
  <si>
    <r>
      <rPr>
        <sz val="8"/>
        <rFont val="Arial"/>
        <family val="2"/>
        <charset val="238"/>
      </rPr>
      <t>Schválený rozpočet</t>
    </r>
    <r>
      <rPr>
        <sz val="10"/>
        <rFont val="Arial"/>
        <family val="2"/>
        <charset val="238"/>
      </rPr>
      <t xml:space="preserve"> po RO č.1</t>
    </r>
  </si>
  <si>
    <t>rozpočet po RO 2</t>
  </si>
  <si>
    <t>RO č.3</t>
  </si>
  <si>
    <t>volby  - odměny</t>
  </si>
  <si>
    <t>volby - materiál</t>
  </si>
  <si>
    <t>volby - jídlo</t>
  </si>
  <si>
    <t>dotace hasiči</t>
  </si>
  <si>
    <t>rozpočet po RO 3</t>
  </si>
  <si>
    <r>
      <rPr>
        <sz val="8"/>
        <rFont val="Arial"/>
        <family val="2"/>
        <charset val="238"/>
      </rPr>
      <t>rozpočet</t>
    </r>
    <r>
      <rPr>
        <sz val="10"/>
        <rFont val="Arial"/>
        <family val="2"/>
        <charset val="238"/>
      </rPr>
      <t xml:space="preserve"> po RO č.1</t>
    </r>
  </si>
  <si>
    <t>Rozpočtové opatření č.3 - Příjmy</t>
  </si>
  <si>
    <t>Rozpočtové opatření č.3 - Výdje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</si>
</sst>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,##0\ &quot;Kč&quot;;[Red]\-#,##0\ &quot;Kč&quot;"/>
    <numFmt numFmtId="165" formatCode="#,##0.00\ &quot;Kč&quot;;[Red]\-#,##0.00\ &quot;Kč&quot;"/>
    <numFmt numFmtId="166" formatCode="_-* #,##0\ &quot;Kč&quot;_-;\-* #,##0\ &quot;Kč&quot;_-;_-* &quot;-&quot;\ &quot;Kč&quot;_-;_-@_-"/>
    <numFmt numFmtId="167" formatCode="_-* #,##0.00\ &quot;Kč&quot;_-;\-* #,##0.00\ &quot;Kč&quot;_-;_-* &quot;-&quot;??\ &quot;Kč&quot;_-;_-@_-"/>
    <numFmt numFmtId="168" formatCode="#,##0\ &quot;Kč&quot;"/>
    <numFmt numFmtId="169" formatCode="???,000"/>
    <numFmt numFmtId="170" formatCode="_-* #,##0.00\ [$Kč-405]_-;\-* #,##0.00\ [$Kč-405]_-;_-* &quot;-&quot;??\ [$Kč-405]_-;_-@_-"/>
  </numFmts>
  <fonts count="78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 CE"/>
      <family val="2"/>
      <charset val="238"/>
    </font>
    <font>
      <b/>
      <sz val="12"/>
      <name val="Arial CE"/>
      <family val="2"/>
      <charset val="238"/>
    </font>
    <font>
      <b/>
      <sz val="8"/>
      <name val="Arial CE"/>
      <family val="2"/>
      <charset val="238"/>
    </font>
    <font>
      <b/>
      <sz val="8"/>
      <name val="Arial"/>
      <family val="2"/>
    </font>
    <font>
      <b/>
      <sz val="10"/>
      <name val="Arial CE"/>
      <family val="2"/>
      <charset val="238"/>
    </font>
    <font>
      <sz val="8"/>
      <name val="Arial CE"/>
      <charset val="238"/>
    </font>
    <font>
      <sz val="8"/>
      <name val="Arial CE"/>
      <family val="2"/>
      <charset val="238"/>
    </font>
    <font>
      <sz val="10"/>
      <name val="Arial CE"/>
      <charset val="238"/>
    </font>
    <font>
      <sz val="8"/>
      <name val="Arial"/>
      <family val="2"/>
    </font>
    <font>
      <b/>
      <sz val="8"/>
      <name val="Arial CE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indexed="10"/>
      <name val="Arial"/>
      <family val="2"/>
      <charset val="238"/>
    </font>
    <font>
      <sz val="8"/>
      <color indexed="10"/>
      <name val="Arial"/>
      <family val="2"/>
      <charset val="238"/>
    </font>
    <font>
      <b/>
      <sz val="8"/>
      <color indexed="12"/>
      <name val="Arial"/>
      <family val="2"/>
      <charset val="238"/>
    </font>
    <font>
      <sz val="8"/>
      <color indexed="12"/>
      <name val="Arial"/>
      <family val="2"/>
      <charset val="238"/>
    </font>
    <font>
      <b/>
      <sz val="26"/>
      <name val="Arial"/>
      <family val="2"/>
      <charset val="238"/>
    </font>
    <font>
      <b/>
      <sz val="14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2"/>
      <name val="Arial"/>
      <family val="2"/>
      <charset val="238"/>
    </font>
    <font>
      <sz val="10"/>
      <color indexed="10"/>
      <name val="Arial"/>
      <family val="2"/>
      <charset val="238"/>
    </font>
    <font>
      <b/>
      <sz val="10"/>
      <color indexed="12"/>
      <name val="Arial"/>
      <family val="2"/>
      <charset val="238"/>
    </font>
    <font>
      <b/>
      <sz val="10"/>
      <color indexed="17"/>
      <name val="Arial"/>
      <family val="2"/>
      <charset val="238"/>
    </font>
    <font>
      <b/>
      <sz val="10"/>
      <color indexed="53"/>
      <name val="Arial"/>
      <family val="2"/>
      <charset val="238"/>
    </font>
    <font>
      <b/>
      <sz val="10"/>
      <color indexed="20"/>
      <name val="Arial"/>
      <family val="2"/>
      <charset val="238"/>
    </font>
    <font>
      <b/>
      <sz val="10"/>
      <color indexed="40"/>
      <name val="Arial"/>
      <family val="2"/>
      <charset val="238"/>
    </font>
    <font>
      <b/>
      <sz val="16"/>
      <color indexed="12"/>
      <name val="Arial"/>
      <family val="2"/>
      <charset val="238"/>
    </font>
    <font>
      <sz val="16"/>
      <name val="Arial"/>
      <family val="2"/>
      <charset val="238"/>
    </font>
    <font>
      <sz val="12"/>
      <name val="Arial"/>
      <family val="2"/>
      <charset val="238"/>
    </font>
    <font>
      <sz val="10"/>
      <color indexed="12"/>
      <name val="Arial"/>
      <family val="2"/>
      <charset val="238"/>
    </font>
    <font>
      <sz val="10"/>
      <color indexed="2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sz val="10"/>
      <color indexed="12"/>
      <name val="Arial"/>
      <family val="2"/>
      <charset val="238"/>
    </font>
    <font>
      <b/>
      <sz val="16"/>
      <name val="Arial"/>
      <family val="2"/>
      <charset val="238"/>
    </font>
    <font>
      <sz val="10"/>
      <name val="Calibri"/>
      <family val="2"/>
      <charset val="238"/>
    </font>
    <font>
      <b/>
      <sz val="14"/>
      <color indexed="12"/>
      <name val="Arial"/>
      <family val="2"/>
      <charset val="238"/>
    </font>
    <font>
      <sz val="16"/>
      <color indexed="12"/>
      <name val="Arial"/>
      <family val="2"/>
      <charset val="238"/>
    </font>
    <font>
      <b/>
      <sz val="18"/>
      <color indexed="10"/>
      <name val="Arial"/>
      <family val="2"/>
      <charset val="238"/>
    </font>
    <font>
      <sz val="16"/>
      <color indexed="10"/>
      <name val="Arial"/>
      <family val="2"/>
      <charset val="238"/>
    </font>
    <font>
      <b/>
      <sz val="16"/>
      <color indexed="10"/>
      <name val="Arial"/>
      <family val="2"/>
      <charset val="238"/>
    </font>
    <font>
      <b/>
      <sz val="12"/>
      <color indexed="12"/>
      <name val="Arial"/>
      <family val="2"/>
      <charset val="238"/>
    </font>
    <font>
      <b/>
      <sz val="12"/>
      <color indexed="61"/>
      <name val="Arial"/>
      <family val="2"/>
      <charset val="238"/>
    </font>
    <font>
      <sz val="12"/>
      <color indexed="61"/>
      <name val="Arial"/>
      <family val="2"/>
      <charset val="238"/>
    </font>
    <font>
      <b/>
      <sz val="18"/>
      <color indexed="12"/>
      <name val="Arial"/>
      <family val="2"/>
      <charset val="238"/>
    </font>
    <font>
      <b/>
      <sz val="22"/>
      <name val="Arial"/>
      <family val="2"/>
      <charset val="238"/>
    </font>
    <font>
      <b/>
      <u/>
      <sz val="10"/>
      <color indexed="10"/>
      <name val="Arial"/>
      <family val="2"/>
      <charset val="238"/>
    </font>
    <font>
      <b/>
      <sz val="12"/>
      <color indexed="10"/>
      <name val="Arial"/>
      <family val="2"/>
      <charset val="238"/>
    </font>
    <font>
      <sz val="10"/>
      <color indexed="61"/>
      <name val="Arial"/>
      <family val="2"/>
      <charset val="238"/>
    </font>
    <font>
      <b/>
      <sz val="14"/>
      <name val="Times New Roman"/>
      <family val="1"/>
      <charset val="238"/>
    </font>
    <font>
      <sz val="12"/>
      <color indexed="10"/>
      <name val="Arial"/>
      <family val="2"/>
      <charset val="238"/>
    </font>
    <font>
      <sz val="8"/>
      <color rgb="FFFF0000"/>
      <name val="Arial"/>
      <family val="2"/>
      <charset val="238"/>
    </font>
    <font>
      <b/>
      <sz val="8"/>
      <color rgb="FF0070C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sz val="8"/>
      <color rgb="FF0070C0"/>
      <name val="Arial"/>
      <family val="2"/>
      <charset val="238"/>
    </font>
    <font>
      <sz val="8"/>
      <color theme="4"/>
      <name val="Arial"/>
      <family val="2"/>
      <charset val="238"/>
    </font>
    <font>
      <b/>
      <sz val="8"/>
      <color theme="4"/>
      <name val="Arial"/>
      <family val="2"/>
      <charset val="238"/>
    </font>
    <font>
      <sz val="10"/>
      <color theme="4"/>
      <name val="Arial"/>
      <family val="2"/>
      <charset val="238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0"/>
      <color rgb="FF00B05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00B05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000000"/>
      <name val="Arial"/>
      <family val="2"/>
      <charset val="238"/>
    </font>
    <font>
      <sz val="10"/>
      <color rgb="FF00B050"/>
      <name val="Arial"/>
      <family val="2"/>
      <charset val="238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67">
    <xf numFmtId="0" fontId="0" fillId="0" borderId="0" xfId="0"/>
    <xf numFmtId="0" fontId="5" fillId="0" borderId="1" xfId="0" applyFont="1" applyBorder="1"/>
    <xf numFmtId="0" fontId="0" fillId="0" borderId="1" xfId="0" applyBorder="1"/>
    <xf numFmtId="3" fontId="0" fillId="0" borderId="0" xfId="0" applyNumberForma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9" fontId="9" fillId="0" borderId="1" xfId="0" applyNumberFormat="1" applyFont="1" applyBorder="1" applyAlignment="1">
      <alignment horizontal="center"/>
    </xf>
    <xf numFmtId="3" fontId="9" fillId="0" borderId="1" xfId="0" applyNumberFormat="1" applyFont="1" applyBorder="1"/>
    <xf numFmtId="0" fontId="11" fillId="0" borderId="0" xfId="0" applyFont="1"/>
    <xf numFmtId="0" fontId="12" fillId="0" borderId="1" xfId="0" applyFont="1" applyBorder="1" applyAlignment="1">
      <alignment horizontal="center"/>
    </xf>
    <xf numFmtId="0" fontId="12" fillId="0" borderId="1" xfId="0" applyFont="1" applyBorder="1"/>
    <xf numFmtId="49" fontId="12" fillId="0" borderId="1" xfId="0" applyNumberFormat="1" applyFont="1" applyBorder="1" applyAlignment="1">
      <alignment horizontal="center"/>
    </xf>
    <xf numFmtId="3" fontId="12" fillId="0" borderId="1" xfId="0" applyNumberFormat="1" applyFont="1" applyBorder="1"/>
    <xf numFmtId="3" fontId="13" fillId="0" borderId="1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/>
    <xf numFmtId="49" fontId="12" fillId="0" borderId="0" xfId="0" applyNumberFormat="1" applyFont="1" applyAlignment="1">
      <alignment horizontal="center"/>
    </xf>
    <xf numFmtId="3" fontId="12" fillId="0" borderId="0" xfId="0" applyNumberFormat="1" applyFont="1"/>
    <xf numFmtId="3" fontId="13" fillId="0" borderId="0" xfId="0" applyNumberFormat="1" applyFont="1"/>
    <xf numFmtId="3" fontId="0" fillId="0" borderId="1" xfId="0" applyNumberFormat="1" applyBorder="1" applyAlignment="1">
      <alignment horizontal="right"/>
    </xf>
    <xf numFmtId="3" fontId="10" fillId="0" borderId="1" xfId="0" applyNumberFormat="1" applyFont="1" applyBorder="1" applyAlignment="1">
      <alignment horizontal="right" vertical="center"/>
    </xf>
    <xf numFmtId="0" fontId="13" fillId="0" borderId="1" xfId="0" applyFont="1" applyBorder="1"/>
    <xf numFmtId="49" fontId="13" fillId="0" borderId="1" xfId="0" applyNumberFormat="1" applyFont="1" applyBorder="1" applyAlignment="1">
      <alignment horizontal="center"/>
    </xf>
    <xf numFmtId="3" fontId="14" fillId="0" borderId="1" xfId="0" applyNumberFormat="1" applyFont="1" applyBorder="1" applyAlignment="1">
      <alignment horizontal="right"/>
    </xf>
    <xf numFmtId="3" fontId="15" fillId="0" borderId="1" xfId="0" applyNumberFormat="1" applyFont="1" applyBorder="1" applyAlignment="1">
      <alignment horizontal="right" vertical="center"/>
    </xf>
    <xf numFmtId="0" fontId="13" fillId="0" borderId="0" xfId="0" applyFont="1"/>
    <xf numFmtId="0" fontId="7" fillId="0" borderId="0" xfId="0" applyFont="1" applyAlignment="1">
      <alignment horizontal="left"/>
    </xf>
    <xf numFmtId="3" fontId="9" fillId="0" borderId="0" xfId="0" applyNumberFormat="1" applyFont="1"/>
    <xf numFmtId="0" fontId="9" fillId="2" borderId="1" xfId="0" applyFont="1" applyFill="1" applyBorder="1"/>
    <xf numFmtId="49" fontId="9" fillId="2" borderId="1" xfId="0" applyNumberFormat="1" applyFont="1" applyFill="1" applyBorder="1" applyAlignment="1">
      <alignment horizontal="center"/>
    </xf>
    <xf numFmtId="3" fontId="9" fillId="2" borderId="1" xfId="0" applyNumberFormat="1" applyFont="1" applyFill="1" applyBorder="1"/>
    <xf numFmtId="0" fontId="17" fillId="0" borderId="0" xfId="0" applyFont="1"/>
    <xf numFmtId="0" fontId="9" fillId="0" borderId="2" xfId="0" applyFont="1" applyBorder="1" applyAlignment="1">
      <alignment horizontal="center"/>
    </xf>
    <xf numFmtId="0" fontId="9" fillId="0" borderId="2" xfId="0" applyFont="1" applyBorder="1"/>
    <xf numFmtId="49" fontId="9" fillId="0" borderId="2" xfId="0" applyNumberFormat="1" applyFont="1" applyBorder="1" applyAlignment="1">
      <alignment horizontal="center"/>
    </xf>
    <xf numFmtId="3" fontId="9" fillId="0" borderId="2" xfId="0" applyNumberFormat="1" applyFont="1" applyBorder="1"/>
    <xf numFmtId="1" fontId="9" fillId="0" borderId="3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3" fontId="10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3" fontId="9" fillId="0" borderId="5" xfId="0" applyNumberFormat="1" applyFont="1" applyBorder="1"/>
    <xf numFmtId="0" fontId="9" fillId="2" borderId="4" xfId="0" applyFont="1" applyFill="1" applyBorder="1" applyAlignment="1">
      <alignment horizontal="center"/>
    </xf>
    <xf numFmtId="3" fontId="9" fillId="2" borderId="5" xfId="0" applyNumberFormat="1" applyFont="1" applyFill="1" applyBorder="1"/>
    <xf numFmtId="0" fontId="12" fillId="0" borderId="4" xfId="0" applyFont="1" applyBorder="1" applyAlignment="1">
      <alignment horizontal="center"/>
    </xf>
    <xf numFmtId="3" fontId="12" fillId="0" borderId="5" xfId="0" applyNumberFormat="1" applyFont="1" applyBorder="1"/>
    <xf numFmtId="3" fontId="16" fillId="0" borderId="5" xfId="0" applyNumberFormat="1" applyFont="1" applyBorder="1"/>
    <xf numFmtId="0" fontId="12" fillId="0" borderId="6" xfId="0" applyFont="1" applyBorder="1" applyAlignment="1">
      <alignment horizontal="center"/>
    </xf>
    <xf numFmtId="0" fontId="12" fillId="0" borderId="7" xfId="0" applyFont="1" applyBorder="1"/>
    <xf numFmtId="49" fontId="12" fillId="0" borderId="7" xfId="0" applyNumberFormat="1" applyFont="1" applyBorder="1" applyAlignment="1">
      <alignment horizontal="center"/>
    </xf>
    <xf numFmtId="3" fontId="12" fillId="0" borderId="7" xfId="0" applyNumberFormat="1" applyFont="1" applyBorder="1"/>
    <xf numFmtId="3" fontId="12" fillId="0" borderId="8" xfId="0" applyNumberFormat="1" applyFont="1" applyBorder="1"/>
    <xf numFmtId="3" fontId="10" fillId="2" borderId="1" xfId="0" applyNumberFormat="1" applyFont="1" applyFill="1" applyBorder="1" applyAlignment="1">
      <alignment horizontal="right" vertical="center"/>
    </xf>
    <xf numFmtId="3" fontId="0" fillId="2" borderId="1" xfId="0" applyNumberFormat="1" applyFill="1" applyBorder="1" applyAlignment="1">
      <alignment horizontal="right"/>
    </xf>
    <xf numFmtId="1" fontId="9" fillId="0" borderId="9" xfId="0" applyNumberFormat="1" applyFont="1" applyBorder="1" applyAlignment="1">
      <alignment horizontal="center"/>
    </xf>
    <xf numFmtId="3" fontId="10" fillId="0" borderId="10" xfId="0" applyNumberFormat="1" applyFont="1" applyBorder="1" applyAlignment="1">
      <alignment horizontal="center" vertical="center"/>
    </xf>
    <xf numFmtId="3" fontId="9" fillId="0" borderId="10" xfId="0" applyNumberFormat="1" applyFont="1" applyBorder="1"/>
    <xf numFmtId="3" fontId="9" fillId="2" borderId="10" xfId="0" applyNumberFormat="1" applyFont="1" applyFill="1" applyBorder="1"/>
    <xf numFmtId="3" fontId="12" fillId="0" borderId="10" xfId="0" applyNumberFormat="1" applyFont="1" applyBorder="1"/>
    <xf numFmtId="3" fontId="12" fillId="0" borderId="11" xfId="0" applyNumberFormat="1" applyFont="1" applyBorder="1"/>
    <xf numFmtId="1" fontId="9" fillId="0" borderId="12" xfId="0" applyNumberFormat="1" applyFont="1" applyBorder="1" applyAlignment="1">
      <alignment horizontal="center"/>
    </xf>
    <xf numFmtId="3" fontId="10" fillId="0" borderId="13" xfId="0" applyNumberFormat="1" applyFont="1" applyBorder="1" applyAlignment="1">
      <alignment horizontal="center" vertical="center"/>
    </xf>
    <xf numFmtId="3" fontId="9" fillId="0" borderId="13" xfId="0" applyNumberFormat="1" applyFont="1" applyBorder="1"/>
    <xf numFmtId="3" fontId="9" fillId="2" borderId="13" xfId="0" applyNumberFormat="1" applyFont="1" applyFill="1" applyBorder="1"/>
    <xf numFmtId="3" fontId="12" fillId="0" borderId="13" xfId="0" applyNumberFormat="1" applyFont="1" applyBorder="1"/>
    <xf numFmtId="3" fontId="12" fillId="0" borderId="14" xfId="0" applyNumberFormat="1" applyFont="1" applyBorder="1"/>
    <xf numFmtId="3" fontId="10" fillId="0" borderId="5" xfId="0" applyNumberFormat="1" applyFont="1" applyBorder="1" applyAlignment="1">
      <alignment horizontal="right" vertical="center"/>
    </xf>
    <xf numFmtId="3" fontId="10" fillId="2" borderId="5" xfId="0" applyNumberFormat="1" applyFont="1" applyFill="1" applyBorder="1" applyAlignment="1">
      <alignment horizontal="right" vertical="center"/>
    </xf>
    <xf numFmtId="3" fontId="15" fillId="0" borderId="5" xfId="0" applyNumberFormat="1" applyFont="1" applyBorder="1" applyAlignment="1">
      <alignment horizontal="right" vertical="center"/>
    </xf>
    <xf numFmtId="3" fontId="10" fillId="0" borderId="10" xfId="0" applyNumberFormat="1" applyFont="1" applyBorder="1" applyAlignment="1">
      <alignment horizontal="right" vertical="center"/>
    </xf>
    <xf numFmtId="3" fontId="10" fillId="2" borderId="10" xfId="0" applyNumberFormat="1" applyFont="1" applyFill="1" applyBorder="1" applyAlignment="1">
      <alignment horizontal="right" vertical="center"/>
    </xf>
    <xf numFmtId="3" fontId="15" fillId="0" borderId="10" xfId="0" applyNumberFormat="1" applyFont="1" applyBorder="1" applyAlignment="1">
      <alignment horizontal="right" vertical="center"/>
    </xf>
    <xf numFmtId="3" fontId="10" fillId="0" borderId="11" xfId="0" applyNumberFormat="1" applyFont="1" applyBorder="1" applyAlignment="1">
      <alignment horizontal="right" vertical="center"/>
    </xf>
    <xf numFmtId="3" fontId="10" fillId="0" borderId="13" xfId="0" applyNumberFormat="1" applyFont="1" applyBorder="1" applyAlignment="1">
      <alignment horizontal="right" vertical="center"/>
    </xf>
    <xf numFmtId="3" fontId="10" fillId="2" borderId="13" xfId="0" applyNumberFormat="1" applyFont="1" applyFill="1" applyBorder="1" applyAlignment="1">
      <alignment horizontal="right" vertical="center"/>
    </xf>
    <xf numFmtId="3" fontId="15" fillId="0" borderId="13" xfId="0" applyNumberFormat="1" applyFont="1" applyBorder="1" applyAlignment="1">
      <alignment horizontal="right" vertical="center"/>
    </xf>
    <xf numFmtId="3" fontId="10" fillId="0" borderId="14" xfId="0" applyNumberFormat="1" applyFont="1" applyBorder="1" applyAlignment="1">
      <alignment horizontal="right" vertical="center"/>
    </xf>
    <xf numFmtId="0" fontId="10" fillId="0" borderId="15" xfId="0" applyFont="1" applyBorder="1" applyAlignment="1">
      <alignment horizontal="center" vertical="center"/>
    </xf>
    <xf numFmtId="0" fontId="12" fillId="0" borderId="3" xfId="0" applyFont="1" applyBorder="1"/>
    <xf numFmtId="49" fontId="10" fillId="0" borderId="3" xfId="0" applyNumberFormat="1" applyFont="1" applyBorder="1" applyAlignment="1">
      <alignment horizontal="center" vertical="center" wrapText="1"/>
    </xf>
    <xf numFmtId="1" fontId="10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right"/>
    </xf>
    <xf numFmtId="0" fontId="13" fillId="0" borderId="7" xfId="0" applyFont="1" applyBorder="1"/>
    <xf numFmtId="3" fontId="6" fillId="0" borderId="1" xfId="0" applyNumberFormat="1" applyFont="1" applyBorder="1" applyAlignment="1">
      <alignment horizontal="right"/>
    </xf>
    <xf numFmtId="3" fontId="6" fillId="0" borderId="7" xfId="0" applyNumberFormat="1" applyFont="1" applyBorder="1" applyAlignment="1">
      <alignment horizontal="right"/>
    </xf>
    <xf numFmtId="3" fontId="11" fillId="0" borderId="0" xfId="0" applyNumberFormat="1" applyFont="1"/>
    <xf numFmtId="0" fontId="9" fillId="3" borderId="4" xfId="0" applyFont="1" applyFill="1" applyBorder="1" applyAlignment="1">
      <alignment horizontal="center"/>
    </xf>
    <xf numFmtId="0" fontId="9" fillId="3" borderId="1" xfId="0" applyFont="1" applyFill="1" applyBorder="1"/>
    <xf numFmtId="49" fontId="9" fillId="3" borderId="1" xfId="0" applyNumberFormat="1" applyFont="1" applyFill="1" applyBorder="1" applyAlignment="1">
      <alignment horizontal="center"/>
    </xf>
    <xf numFmtId="3" fontId="9" fillId="3" borderId="1" xfId="0" applyNumberFormat="1" applyFont="1" applyFill="1" applyBorder="1"/>
    <xf numFmtId="3" fontId="9" fillId="3" borderId="5" xfId="0" applyNumberFormat="1" applyFont="1" applyFill="1" applyBorder="1"/>
    <xf numFmtId="0" fontId="9" fillId="4" borderId="4" xfId="0" applyFont="1" applyFill="1" applyBorder="1" applyAlignment="1">
      <alignment horizontal="center"/>
    </xf>
    <xf numFmtId="0" fontId="9" fillId="4" borderId="1" xfId="0" applyFont="1" applyFill="1" applyBorder="1"/>
    <xf numFmtId="49" fontId="9" fillId="4" borderId="1" xfId="0" applyNumberFormat="1" applyFont="1" applyFill="1" applyBorder="1" applyAlignment="1">
      <alignment horizontal="center"/>
    </xf>
    <xf numFmtId="3" fontId="10" fillId="4" borderId="1" xfId="0" applyNumberFormat="1" applyFont="1" applyFill="1" applyBorder="1" applyAlignment="1">
      <alignment horizontal="right" vertical="center"/>
    </xf>
    <xf numFmtId="3" fontId="0" fillId="4" borderId="1" xfId="0" applyNumberFormat="1" applyFill="1" applyBorder="1" applyAlignment="1">
      <alignment horizontal="right"/>
    </xf>
    <xf numFmtId="3" fontId="10" fillId="4" borderId="5" xfId="0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49" fontId="9" fillId="0" borderId="16" xfId="0" applyNumberFormat="1" applyFont="1" applyBorder="1" applyAlignment="1">
      <alignment horizontal="center"/>
    </xf>
    <xf numFmtId="0" fontId="5" fillId="0" borderId="0" xfId="0" applyFont="1"/>
    <xf numFmtId="0" fontId="23" fillId="0" borderId="0" xfId="0" applyFont="1"/>
    <xf numFmtId="0" fontId="24" fillId="0" borderId="0" xfId="0" applyFont="1"/>
    <xf numFmtId="3" fontId="5" fillId="0" borderId="0" xfId="0" applyNumberFormat="1" applyFo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4" fillId="0" borderId="1" xfId="0" applyFont="1" applyBorder="1"/>
    <xf numFmtId="0" fontId="24" fillId="0" borderId="1" xfId="0" applyFont="1" applyBorder="1" applyAlignment="1">
      <alignment horizontal="center"/>
    </xf>
    <xf numFmtId="3" fontId="5" fillId="0" borderId="1" xfId="0" applyNumberFormat="1" applyFont="1" applyBorder="1"/>
    <xf numFmtId="0" fontId="0" fillId="0" borderId="1" xfId="0" applyBorder="1" applyAlignment="1">
      <alignment horizontal="right"/>
    </xf>
    <xf numFmtId="3" fontId="0" fillId="0" borderId="1" xfId="0" applyNumberForma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vertical="center"/>
    </xf>
    <xf numFmtId="3" fontId="6" fillId="0" borderId="1" xfId="0" applyNumberFormat="1" applyFont="1" applyBorder="1"/>
    <xf numFmtId="49" fontId="9" fillId="0" borderId="12" xfId="0" applyNumberFormat="1" applyFont="1" applyBorder="1" applyAlignment="1">
      <alignment horizontal="center"/>
    </xf>
    <xf numFmtId="0" fontId="18" fillId="0" borderId="0" xfId="0" applyFont="1"/>
    <xf numFmtId="0" fontId="6" fillId="0" borderId="0" xfId="0" applyFont="1"/>
    <xf numFmtId="0" fontId="0" fillId="0" borderId="0" xfId="0" applyAlignment="1">
      <alignment horizontal="left"/>
    </xf>
    <xf numFmtId="3" fontId="25" fillId="0" borderId="0" xfId="0" applyNumberFormat="1" applyFont="1"/>
    <xf numFmtId="0" fontId="0" fillId="0" borderId="0" xfId="0" applyAlignment="1">
      <alignment horizontal="right"/>
    </xf>
    <xf numFmtId="3" fontId="6" fillId="0" borderId="0" xfId="0" applyNumberFormat="1" applyFont="1"/>
    <xf numFmtId="0" fontId="22" fillId="0" borderId="0" xfId="0" applyFont="1"/>
    <xf numFmtId="0" fontId="5" fillId="0" borderId="0" xfId="0" applyFont="1" applyAlignment="1">
      <alignment horizontal="right"/>
    </xf>
    <xf numFmtId="3" fontId="0" fillId="0" borderId="0" xfId="0" applyNumberFormat="1" applyAlignment="1">
      <alignment horizontal="center"/>
    </xf>
    <xf numFmtId="0" fontId="25" fillId="5" borderId="0" xfId="0" applyFont="1" applyFill="1"/>
    <xf numFmtId="3" fontId="25" fillId="5" borderId="0" xfId="0" applyNumberFormat="1" applyFont="1" applyFill="1"/>
    <xf numFmtId="0" fontId="5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0" fillId="0" borderId="7" xfId="0" applyBorder="1"/>
    <xf numFmtId="10" fontId="0" fillId="0" borderId="7" xfId="0" applyNumberForma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3" fontId="0" fillId="0" borderId="15" xfId="0" applyNumberFormat="1" applyBorder="1"/>
    <xf numFmtId="3" fontId="0" fillId="0" borderId="4" xfId="0" applyNumberFormat="1" applyBorder="1"/>
    <xf numFmtId="3" fontId="0" fillId="0" borderId="6" xfId="0" applyNumberFormat="1" applyBorder="1"/>
    <xf numFmtId="10" fontId="0" fillId="0" borderId="0" xfId="0" applyNumberFormat="1" applyAlignment="1">
      <alignment horizontal="center"/>
    </xf>
    <xf numFmtId="3" fontId="1" fillId="0" borderId="3" xfId="0" applyNumberFormat="1" applyFont="1" applyBorder="1"/>
    <xf numFmtId="3" fontId="1" fillId="0" borderId="1" xfId="0" applyNumberFormat="1" applyFont="1" applyBorder="1"/>
    <xf numFmtId="3" fontId="1" fillId="0" borderId="7" xfId="0" applyNumberFormat="1" applyFont="1" applyBorder="1"/>
    <xf numFmtId="3" fontId="1" fillId="0" borderId="2" xfId="0" applyNumberFormat="1" applyFont="1" applyBorder="1"/>
    <xf numFmtId="0" fontId="0" fillId="0" borderId="23" xfId="0" applyBorder="1"/>
    <xf numFmtId="3" fontId="22" fillId="0" borderId="0" xfId="0" applyNumberFormat="1" applyFont="1"/>
    <xf numFmtId="4" fontId="0" fillId="0" borderId="0" xfId="0" applyNumberFormat="1"/>
    <xf numFmtId="3" fontId="1" fillId="0" borderId="0" xfId="0" applyNumberFormat="1" applyFont="1"/>
    <xf numFmtId="0" fontId="5" fillId="0" borderId="8" xfId="0" applyFont="1" applyBorder="1" applyAlignment="1">
      <alignment horizontal="center"/>
    </xf>
    <xf numFmtId="0" fontId="0" fillId="0" borderId="24" xfId="0" applyBorder="1"/>
    <xf numFmtId="0" fontId="5" fillId="0" borderId="25" xfId="0" applyFont="1" applyBorder="1"/>
    <xf numFmtId="3" fontId="5" fillId="0" borderId="26" xfId="0" applyNumberFormat="1" applyFont="1" applyBorder="1"/>
    <xf numFmtId="3" fontId="0" fillId="0" borderId="27" xfId="0" applyNumberFormat="1" applyBorder="1"/>
    <xf numFmtId="3" fontId="0" fillId="0" borderId="28" xfId="0" applyNumberFormat="1" applyBorder="1"/>
    <xf numFmtId="3" fontId="1" fillId="0" borderId="15" xfId="0" applyNumberFormat="1" applyFont="1" applyBorder="1"/>
    <xf numFmtId="3" fontId="1" fillId="0" borderId="6" xfId="0" applyNumberFormat="1" applyFont="1" applyBorder="1"/>
    <xf numFmtId="3" fontId="28" fillId="0" borderId="26" xfId="0" applyNumberFormat="1" applyFont="1" applyBorder="1"/>
    <xf numFmtId="3" fontId="28" fillId="0" borderId="0" xfId="0" applyNumberFormat="1" applyFont="1"/>
    <xf numFmtId="3" fontId="29" fillId="0" borderId="0" xfId="0" applyNumberFormat="1" applyFont="1"/>
    <xf numFmtId="3" fontId="30" fillId="0" borderId="0" xfId="0" applyNumberFormat="1" applyFont="1"/>
    <xf numFmtId="3" fontId="31" fillId="0" borderId="0" xfId="0" applyNumberFormat="1" applyFont="1"/>
    <xf numFmtId="3" fontId="32" fillId="0" borderId="0" xfId="0" applyNumberFormat="1" applyFont="1"/>
    <xf numFmtId="0" fontId="21" fillId="0" borderId="0" xfId="0" applyFont="1"/>
    <xf numFmtId="166" fontId="5" fillId="0" borderId="0" xfId="0" applyNumberFormat="1" applyFont="1"/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3" fontId="0" fillId="0" borderId="5" xfId="0" applyNumberFormat="1" applyBorder="1" applyAlignment="1">
      <alignment horizontal="left" vertical="center" wrapText="1"/>
    </xf>
    <xf numFmtId="3" fontId="33" fillId="0" borderId="5" xfId="0" applyNumberFormat="1" applyFont="1" applyBorder="1" applyAlignment="1">
      <alignment horizontal="center" vertical="center" wrapText="1"/>
    </xf>
    <xf numFmtId="3" fontId="33" fillId="0" borderId="4" xfId="0" applyNumberFormat="1" applyFont="1" applyBorder="1" applyAlignment="1">
      <alignment horizontal="center" vertical="center" wrapText="1"/>
    </xf>
    <xf numFmtId="3" fontId="34" fillId="0" borderId="4" xfId="0" applyNumberFormat="1" applyFont="1" applyBorder="1" applyAlignment="1">
      <alignment horizontal="center" vertical="center" wrapText="1"/>
    </xf>
    <xf numFmtId="3" fontId="34" fillId="0" borderId="5" xfId="0" applyNumberFormat="1" applyFont="1" applyBorder="1" applyAlignment="1">
      <alignment horizontal="center" vertical="center" wrapText="1"/>
    </xf>
    <xf numFmtId="3" fontId="34" fillId="0" borderId="1" xfId="0" applyNumberFormat="1" applyFont="1" applyBorder="1" applyAlignment="1">
      <alignment horizontal="center" vertical="center" wrapText="1"/>
    </xf>
    <xf numFmtId="3" fontId="34" fillId="0" borderId="2" xfId="0" applyNumberFormat="1" applyFont="1" applyBorder="1" applyAlignment="1">
      <alignment horizontal="center" vertical="center" wrapText="1"/>
    </xf>
    <xf numFmtId="3" fontId="34" fillId="0" borderId="28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3" fontId="0" fillId="0" borderId="8" xfId="0" applyNumberFormat="1" applyBorder="1" applyAlignment="1">
      <alignment horizontal="left" vertical="center" wrapText="1"/>
    </xf>
    <xf numFmtId="3" fontId="33" fillId="0" borderId="8" xfId="0" applyNumberFormat="1" applyFont="1" applyBorder="1" applyAlignment="1">
      <alignment horizontal="center" vertical="center" wrapText="1"/>
    </xf>
    <xf numFmtId="3" fontId="33" fillId="0" borderId="6" xfId="0" applyNumberFormat="1" applyFont="1" applyBorder="1" applyAlignment="1">
      <alignment horizontal="center" vertical="center" wrapText="1"/>
    </xf>
    <xf numFmtId="3" fontId="34" fillId="0" borderId="6" xfId="0" applyNumberFormat="1" applyFont="1" applyBorder="1" applyAlignment="1">
      <alignment horizontal="center" vertical="center" wrapText="1"/>
    </xf>
    <xf numFmtId="3" fontId="34" fillId="0" borderId="8" xfId="0" applyNumberFormat="1" applyFont="1" applyBorder="1" applyAlignment="1">
      <alignment horizontal="center" vertical="center" wrapText="1"/>
    </xf>
    <xf numFmtId="3" fontId="34" fillId="0" borderId="7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164" fontId="0" fillId="0" borderId="1" xfId="0" applyNumberFormat="1" applyBorder="1"/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164" fontId="0" fillId="0" borderId="30" xfId="0" applyNumberFormat="1" applyBorder="1"/>
    <xf numFmtId="0" fontId="0" fillId="0" borderId="30" xfId="0" applyBorder="1"/>
    <xf numFmtId="0" fontId="5" fillId="0" borderId="26" xfId="0" applyFon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164" fontId="0" fillId="0" borderId="2" xfId="0" applyNumberFormat="1" applyBorder="1"/>
    <xf numFmtId="164" fontId="5" fillId="0" borderId="26" xfId="0" applyNumberFormat="1" applyFont="1" applyBorder="1"/>
    <xf numFmtId="164" fontId="0" fillId="0" borderId="0" xfId="0" applyNumberFormat="1"/>
    <xf numFmtId="3" fontId="0" fillId="0" borderId="29" xfId="0" applyNumberFormat="1" applyBorder="1"/>
    <xf numFmtId="0" fontId="0" fillId="0" borderId="13" xfId="0" applyBorder="1"/>
    <xf numFmtId="0" fontId="5" fillId="0" borderId="31" xfId="0" applyFont="1" applyBorder="1" applyAlignment="1">
      <alignment horizontal="center"/>
    </xf>
    <xf numFmtId="0" fontId="5" fillId="0" borderId="32" xfId="0" applyFont="1" applyBorder="1"/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27" fillId="0" borderId="33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0" fillId="0" borderId="35" xfId="0" applyBorder="1" applyAlignment="1">
      <alignment horizontal="center"/>
    </xf>
    <xf numFmtId="164" fontId="5" fillId="0" borderId="32" xfId="0" applyNumberFormat="1" applyFont="1" applyBorder="1"/>
    <xf numFmtId="0" fontId="5" fillId="0" borderId="0" xfId="0" applyFont="1" applyAlignment="1">
      <alignment horizontal="center"/>
    </xf>
    <xf numFmtId="0" fontId="5" fillId="0" borderId="36" xfId="0" applyFont="1" applyBorder="1" applyAlignment="1">
      <alignment horizontal="center"/>
    </xf>
    <xf numFmtId="0" fontId="5" fillId="0" borderId="26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1" fillId="0" borderId="34" xfId="0" applyFont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7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164" fontId="37" fillId="0" borderId="41" xfId="0" applyNumberFormat="1" applyFont="1" applyBorder="1"/>
    <xf numFmtId="164" fontId="0" fillId="0" borderId="4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0" fontId="5" fillId="0" borderId="25" xfId="0" applyFont="1" applyBorder="1" applyAlignment="1">
      <alignment horizontal="center"/>
    </xf>
    <xf numFmtId="0" fontId="5" fillId="0" borderId="26" xfId="0" applyFont="1" applyBorder="1"/>
    <xf numFmtId="0" fontId="5" fillId="0" borderId="38" xfId="0" applyFont="1" applyBorder="1" applyAlignment="1">
      <alignment horizontal="center"/>
    </xf>
    <xf numFmtId="164" fontId="5" fillId="0" borderId="25" xfId="0" applyNumberFormat="1" applyFont="1" applyBorder="1"/>
    <xf numFmtId="164" fontId="5" fillId="0" borderId="42" xfId="0" applyNumberFormat="1" applyFont="1" applyBorder="1"/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27" fillId="0" borderId="44" xfId="0" applyFont="1" applyBorder="1" applyAlignment="1">
      <alignment horizontal="center"/>
    </xf>
    <xf numFmtId="0" fontId="0" fillId="0" borderId="44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9" xfId="0" applyBorder="1" applyAlignment="1">
      <alignment horizontal="center"/>
    </xf>
    <xf numFmtId="164" fontId="5" fillId="0" borderId="6" xfId="0" applyNumberFormat="1" applyFont="1" applyBorder="1"/>
    <xf numFmtId="164" fontId="5" fillId="0" borderId="7" xfId="0" applyNumberFormat="1" applyFont="1" applyBorder="1"/>
    <xf numFmtId="164" fontId="5" fillId="0" borderId="8" xfId="0" applyNumberFormat="1" applyFont="1" applyBorder="1"/>
    <xf numFmtId="0" fontId="5" fillId="0" borderId="36" xfId="0" applyFont="1" applyBorder="1"/>
    <xf numFmtId="0" fontId="28" fillId="0" borderId="0" xfId="0" applyFont="1" applyAlignment="1">
      <alignment horizontal="center"/>
    </xf>
    <xf numFmtId="168" fontId="0" fillId="0" borderId="0" xfId="0" applyNumberFormat="1"/>
    <xf numFmtId="3" fontId="6" fillId="0" borderId="0" xfId="0" applyNumberFormat="1" applyFont="1" applyAlignment="1">
      <alignment horizontal="center"/>
    </xf>
    <xf numFmtId="4" fontId="5" fillId="0" borderId="0" xfId="0" applyNumberFormat="1" applyFont="1"/>
    <xf numFmtId="0" fontId="6" fillId="0" borderId="0" xfId="0" applyFont="1" applyAlignment="1">
      <alignment horizontal="right"/>
    </xf>
    <xf numFmtId="0" fontId="25" fillId="0" borderId="0" xfId="0" applyFont="1" applyAlignment="1">
      <alignment horizontal="center"/>
    </xf>
    <xf numFmtId="168" fontId="0" fillId="0" borderId="0" xfId="0" applyNumberFormat="1" applyAlignment="1">
      <alignment horizontal="center"/>
    </xf>
    <xf numFmtId="3" fontId="25" fillId="0" borderId="0" xfId="0" applyNumberFormat="1" applyFont="1" applyAlignment="1">
      <alignment horizontal="center"/>
    </xf>
    <xf numFmtId="3" fontId="28" fillId="0" borderId="0" xfId="0" applyNumberFormat="1" applyFont="1" applyAlignment="1">
      <alignment horizontal="center"/>
    </xf>
    <xf numFmtId="10" fontId="36" fillId="0" borderId="0" xfId="0" applyNumberFormat="1" applyFont="1" applyAlignment="1">
      <alignment horizontal="center"/>
    </xf>
    <xf numFmtId="0" fontId="19" fillId="0" borderId="0" xfId="0" applyFont="1"/>
    <xf numFmtId="3" fontId="21" fillId="0" borderId="0" xfId="0" applyNumberFormat="1" applyFont="1"/>
    <xf numFmtId="3" fontId="27" fillId="0" borderId="3" xfId="0" applyNumberFormat="1" applyFont="1" applyBorder="1"/>
    <xf numFmtId="3" fontId="27" fillId="0" borderId="1" xfId="0" applyNumberFormat="1" applyFont="1" applyBorder="1"/>
    <xf numFmtId="0" fontId="27" fillId="0" borderId="1" xfId="0" applyFont="1" applyBorder="1"/>
    <xf numFmtId="0" fontId="1" fillId="0" borderId="30" xfId="0" applyFont="1" applyBorder="1"/>
    <xf numFmtId="3" fontId="1" fillId="0" borderId="45" xfId="0" applyNumberFormat="1" applyFont="1" applyBorder="1"/>
    <xf numFmtId="0" fontId="42" fillId="0" borderId="0" xfId="0" applyFont="1"/>
    <xf numFmtId="0" fontId="27" fillId="0" borderId="0" xfId="0" applyFont="1"/>
    <xf numFmtId="0" fontId="43" fillId="0" borderId="0" xfId="0" applyFont="1"/>
    <xf numFmtId="14" fontId="0" fillId="0" borderId="1" xfId="0" applyNumberFormat="1" applyBorder="1"/>
    <xf numFmtId="0" fontId="40" fillId="0" borderId="0" xfId="0" applyFont="1"/>
    <xf numFmtId="3" fontId="19" fillId="0" borderId="0" xfId="0" applyNumberFormat="1" applyFont="1"/>
    <xf numFmtId="4" fontId="25" fillId="0" borderId="0" xfId="0" applyNumberFormat="1" applyFont="1" applyAlignment="1">
      <alignment horizontal="right"/>
    </xf>
    <xf numFmtId="3" fontId="5" fillId="0" borderId="3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6" xfId="0" applyBorder="1" applyAlignment="1">
      <alignment horizontal="center"/>
    </xf>
    <xf numFmtId="14" fontId="5" fillId="0" borderId="4" xfId="0" applyNumberFormat="1" applyFont="1" applyBorder="1"/>
    <xf numFmtId="14" fontId="5" fillId="0" borderId="1" xfId="0" applyNumberFormat="1" applyFont="1" applyBorder="1"/>
    <xf numFmtId="10" fontId="0" fillId="0" borderId="1" xfId="0" applyNumberFormat="1" applyBorder="1"/>
    <xf numFmtId="10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3" fontId="0" fillId="0" borderId="5" xfId="0" applyNumberFormat="1" applyBorder="1"/>
    <xf numFmtId="4" fontId="0" fillId="0" borderId="0" xfId="0" applyNumberFormat="1" applyAlignment="1">
      <alignment horizontal="right"/>
    </xf>
    <xf numFmtId="4" fontId="5" fillId="0" borderId="0" xfId="0" applyNumberFormat="1" applyFont="1" applyAlignment="1">
      <alignment horizontal="right"/>
    </xf>
    <xf numFmtId="0" fontId="25" fillId="0" borderId="0" xfId="0" applyFont="1"/>
    <xf numFmtId="168" fontId="25" fillId="0" borderId="0" xfId="0" applyNumberFormat="1" applyFont="1"/>
    <xf numFmtId="4" fontId="25" fillId="0" borderId="0" xfId="0" applyNumberFormat="1" applyFont="1"/>
    <xf numFmtId="49" fontId="5" fillId="0" borderId="1" xfId="0" applyNumberFormat="1" applyFont="1" applyBorder="1" applyAlignment="1">
      <alignment horizontal="center"/>
    </xf>
    <xf numFmtId="166" fontId="5" fillId="0" borderId="1" xfId="0" applyNumberFormat="1" applyFont="1" applyBorder="1"/>
    <xf numFmtId="166" fontId="0" fillId="0" borderId="0" xfId="0" applyNumberFormat="1"/>
    <xf numFmtId="0" fontId="0" fillId="0" borderId="26" xfId="0" applyBorder="1" applyAlignment="1">
      <alignment horizontal="center"/>
    </xf>
    <xf numFmtId="4" fontId="5" fillId="0" borderId="26" xfId="0" applyNumberFormat="1" applyFont="1" applyBorder="1" applyAlignment="1">
      <alignment horizontal="center"/>
    </xf>
    <xf numFmtId="10" fontId="0" fillId="0" borderId="26" xfId="0" applyNumberFormat="1" applyBorder="1" applyAlignment="1">
      <alignment horizontal="center"/>
    </xf>
    <xf numFmtId="0" fontId="0" fillId="0" borderId="42" xfId="0" applyBorder="1" applyAlignment="1">
      <alignment horizontal="center"/>
    </xf>
    <xf numFmtId="14" fontId="6" fillId="0" borderId="27" xfId="0" applyNumberFormat="1" applyFont="1" applyBorder="1"/>
    <xf numFmtId="14" fontId="6" fillId="0" borderId="2" xfId="0" applyNumberFormat="1" applyFont="1" applyBorder="1"/>
    <xf numFmtId="1" fontId="0" fillId="0" borderId="2" xfId="0" applyNumberFormat="1" applyBorder="1" applyAlignment="1">
      <alignment horizontal="center"/>
    </xf>
    <xf numFmtId="3" fontId="0" fillId="0" borderId="2" xfId="0" applyNumberFormat="1" applyBorder="1"/>
    <xf numFmtId="4" fontId="0" fillId="0" borderId="2" xfId="0" applyNumberFormat="1" applyBorder="1"/>
    <xf numFmtId="4" fontId="27" fillId="0" borderId="1" xfId="0" applyNumberFormat="1" applyFont="1" applyBorder="1"/>
    <xf numFmtId="4" fontId="27" fillId="0" borderId="0" xfId="0" applyNumberFormat="1" applyFont="1"/>
    <xf numFmtId="0" fontId="44" fillId="0" borderId="0" xfId="0" applyFont="1" applyAlignment="1">
      <alignment wrapText="1"/>
    </xf>
    <xf numFmtId="165" fontId="6" fillId="0" borderId="0" xfId="0" applyNumberFormat="1" applyFont="1" applyAlignment="1">
      <alignment wrapText="1"/>
    </xf>
    <xf numFmtId="10" fontId="6" fillId="0" borderId="0" xfId="0" applyNumberFormat="1" applyFont="1" applyAlignment="1">
      <alignment horizontal="left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/>
    </xf>
    <xf numFmtId="17" fontId="6" fillId="0" borderId="51" xfId="0" applyNumberFormat="1" applyFont="1" applyBorder="1" applyAlignment="1">
      <alignment wrapText="1"/>
    </xf>
    <xf numFmtId="0" fontId="6" fillId="0" borderId="52" xfId="0" applyFont="1" applyBorder="1" applyAlignment="1">
      <alignment wrapText="1"/>
    </xf>
    <xf numFmtId="164" fontId="6" fillId="0" borderId="52" xfId="0" applyNumberFormat="1" applyFont="1" applyBorder="1" applyAlignment="1">
      <alignment horizontal="center" wrapText="1"/>
    </xf>
    <xf numFmtId="164" fontId="6" fillId="0" borderId="52" xfId="0" applyNumberFormat="1" applyFont="1" applyBorder="1" applyAlignment="1">
      <alignment wrapText="1"/>
    </xf>
    <xf numFmtId="164" fontId="6" fillId="0" borderId="53" xfId="0" applyNumberFormat="1" applyFont="1" applyBorder="1" applyAlignment="1">
      <alignment wrapText="1"/>
    </xf>
    <xf numFmtId="0" fontId="0" fillId="0" borderId="54" xfId="0" applyBorder="1"/>
    <xf numFmtId="0" fontId="0" fillId="0" borderId="55" xfId="0" applyBorder="1"/>
    <xf numFmtId="0" fontId="0" fillId="0" borderId="40" xfId="0" applyBorder="1"/>
    <xf numFmtId="17" fontId="6" fillId="0" borderId="56" xfId="0" applyNumberFormat="1" applyFont="1" applyBorder="1" applyAlignment="1">
      <alignment wrapText="1"/>
    </xf>
    <xf numFmtId="164" fontId="6" fillId="0" borderId="57" xfId="0" applyNumberFormat="1" applyFont="1" applyBorder="1" applyAlignment="1">
      <alignment wrapText="1"/>
    </xf>
    <xf numFmtId="0" fontId="6" fillId="0" borderId="57" xfId="0" applyFont="1" applyBorder="1" applyAlignment="1">
      <alignment wrapText="1"/>
    </xf>
    <xf numFmtId="164" fontId="6" fillId="0" borderId="58" xfId="0" applyNumberFormat="1" applyFont="1" applyBorder="1" applyAlignment="1">
      <alignment wrapText="1"/>
    </xf>
    <xf numFmtId="0" fontId="0" fillId="0" borderId="59" xfId="0" applyBorder="1"/>
    <xf numFmtId="17" fontId="6" fillId="0" borderId="60" xfId="0" applyNumberFormat="1" applyFont="1" applyBorder="1" applyAlignment="1">
      <alignment wrapText="1"/>
    </xf>
    <xf numFmtId="164" fontId="6" fillId="0" borderId="61" xfId="0" applyNumberFormat="1" applyFont="1" applyBorder="1" applyAlignment="1">
      <alignment wrapText="1"/>
    </xf>
    <xf numFmtId="0" fontId="6" fillId="0" borderId="61" xfId="0" applyFont="1" applyBorder="1" applyAlignment="1">
      <alignment wrapText="1"/>
    </xf>
    <xf numFmtId="164" fontId="6" fillId="0" borderId="62" xfId="0" applyNumberFormat="1" applyFont="1" applyBorder="1" applyAlignment="1">
      <alignment wrapText="1"/>
    </xf>
    <xf numFmtId="164" fontId="0" fillId="0" borderId="43" xfId="0" applyNumberFormat="1" applyBorder="1"/>
    <xf numFmtId="164" fontId="0" fillId="0" borderId="44" xfId="0" applyNumberFormat="1" applyBorder="1"/>
    <xf numFmtId="164" fontId="0" fillId="0" borderId="63" xfId="0" applyNumberFormat="1" applyBorder="1"/>
    <xf numFmtId="164" fontId="6" fillId="0" borderId="64" xfId="0" applyNumberFormat="1" applyFont="1" applyBorder="1" applyAlignment="1">
      <alignment wrapText="1"/>
    </xf>
    <xf numFmtId="164" fontId="6" fillId="0" borderId="65" xfId="0" applyNumberFormat="1" applyFont="1" applyBorder="1" applyAlignment="1">
      <alignment wrapText="1"/>
    </xf>
    <xf numFmtId="164" fontId="6" fillId="0" borderId="66" xfId="0" applyNumberFormat="1" applyFont="1" applyBorder="1" applyAlignment="1">
      <alignment wrapText="1"/>
    </xf>
    <xf numFmtId="164" fontId="0" fillId="0" borderId="23" xfId="0" applyNumberFormat="1" applyBorder="1"/>
    <xf numFmtId="164" fontId="0" fillId="0" borderId="59" xfId="0" applyNumberFormat="1" applyBorder="1"/>
    <xf numFmtId="17" fontId="6" fillId="0" borderId="67" xfId="0" applyNumberFormat="1" applyFont="1" applyBorder="1" applyAlignment="1">
      <alignment wrapText="1"/>
    </xf>
    <xf numFmtId="164" fontId="6" fillId="0" borderId="68" xfId="0" applyNumberFormat="1" applyFont="1" applyBorder="1" applyAlignment="1">
      <alignment wrapText="1"/>
    </xf>
    <xf numFmtId="0" fontId="6" fillId="0" borderId="68" xfId="0" applyFont="1" applyBorder="1" applyAlignment="1">
      <alignment wrapText="1"/>
    </xf>
    <xf numFmtId="164" fontId="6" fillId="0" borderId="69" xfId="0" applyNumberFormat="1" applyFont="1" applyBorder="1" applyAlignment="1">
      <alignment wrapText="1"/>
    </xf>
    <xf numFmtId="17" fontId="6" fillId="0" borderId="70" xfId="0" applyNumberFormat="1" applyFont="1" applyBorder="1" applyAlignment="1">
      <alignment wrapText="1"/>
    </xf>
    <xf numFmtId="164" fontId="6" fillId="0" borderId="71" xfId="0" applyNumberFormat="1" applyFont="1" applyBorder="1" applyAlignment="1">
      <alignment wrapText="1"/>
    </xf>
    <xf numFmtId="0" fontId="6" fillId="0" borderId="71" xfId="0" applyFont="1" applyBorder="1" applyAlignment="1">
      <alignment wrapText="1"/>
    </xf>
    <xf numFmtId="164" fontId="6" fillId="0" borderId="72" xfId="0" applyNumberFormat="1" applyFont="1" applyBorder="1" applyAlignment="1">
      <alignment wrapText="1"/>
    </xf>
    <xf numFmtId="0" fontId="6" fillId="0" borderId="62" xfId="0" applyFont="1" applyBorder="1" applyAlignment="1">
      <alignment wrapText="1"/>
    </xf>
    <xf numFmtId="168" fontId="1" fillId="0" borderId="0" xfId="0" applyNumberFormat="1" applyFont="1"/>
    <xf numFmtId="168" fontId="27" fillId="0" borderId="0" xfId="0" applyNumberFormat="1" applyFont="1"/>
    <xf numFmtId="164" fontId="0" fillId="0" borderId="0" xfId="0" applyNumberFormat="1" applyAlignment="1">
      <alignment horizontal="center"/>
    </xf>
    <xf numFmtId="4" fontId="27" fillId="0" borderId="0" xfId="0" applyNumberFormat="1" applyFont="1" applyAlignment="1">
      <alignment horizontal="right"/>
    </xf>
    <xf numFmtId="3" fontId="40" fillId="0" borderId="0" xfId="0" applyNumberFormat="1" applyFont="1" applyAlignment="1">
      <alignment horizontal="center"/>
    </xf>
    <xf numFmtId="0" fontId="43" fillId="0" borderId="15" xfId="0" applyFont="1" applyBorder="1" applyAlignment="1">
      <alignment horizontal="center"/>
    </xf>
    <xf numFmtId="0" fontId="43" fillId="0" borderId="73" xfId="0" applyFont="1" applyBorder="1" applyAlignment="1">
      <alignment horizontal="center"/>
    </xf>
    <xf numFmtId="0" fontId="43" fillId="0" borderId="16" xfId="0" applyFont="1" applyBorder="1" applyAlignment="1">
      <alignment horizontal="center"/>
    </xf>
    <xf numFmtId="0" fontId="43" fillId="0" borderId="0" xfId="0" applyFont="1" applyAlignment="1">
      <alignment horizontal="center"/>
    </xf>
    <xf numFmtId="0" fontId="43" fillId="0" borderId="4" xfId="0" applyFont="1" applyBorder="1" applyAlignment="1">
      <alignment horizontal="center" vertical="center" wrapText="1"/>
    </xf>
    <xf numFmtId="3" fontId="34" fillId="0" borderId="1" xfId="0" applyNumberFormat="1" applyFont="1" applyBorder="1"/>
    <xf numFmtId="3" fontId="34" fillId="0" borderId="5" xfId="0" applyNumberFormat="1" applyFont="1" applyBorder="1"/>
    <xf numFmtId="3" fontId="34" fillId="0" borderId="0" xfId="0" applyNumberFormat="1" applyFont="1" applyAlignment="1">
      <alignment horizontal="center"/>
    </xf>
    <xf numFmtId="0" fontId="33" fillId="0" borderId="6" xfId="0" applyFont="1" applyBorder="1" applyAlignment="1">
      <alignment horizontal="center" vertical="center" wrapText="1"/>
    </xf>
    <xf numFmtId="3" fontId="46" fillId="0" borderId="7" xfId="0" applyNumberFormat="1" applyFont="1" applyBorder="1"/>
    <xf numFmtId="3" fontId="46" fillId="0" borderId="8" xfId="0" applyNumberFormat="1" applyFont="1" applyBorder="1"/>
    <xf numFmtId="3" fontId="36" fillId="0" borderId="0" xfId="0" applyNumberFormat="1" applyFont="1"/>
    <xf numFmtId="0" fontId="36" fillId="0" borderId="0" xfId="0" applyFont="1"/>
    <xf numFmtId="0" fontId="33" fillId="0" borderId="12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33" fillId="0" borderId="73" xfId="0" applyFont="1" applyBorder="1" applyAlignment="1">
      <alignment horizontal="center" vertical="center" wrapText="1"/>
    </xf>
    <xf numFmtId="3" fontId="33" fillId="0" borderId="16" xfId="0" applyNumberFormat="1" applyFont="1" applyBorder="1" applyAlignment="1">
      <alignment horizontal="center" vertical="center" wrapText="1"/>
    </xf>
    <xf numFmtId="0" fontId="43" fillId="0" borderId="20" xfId="0" applyFont="1" applyBorder="1" applyAlignment="1">
      <alignment horizontal="center" vertical="center" wrapText="1"/>
    </xf>
    <xf numFmtId="0" fontId="43" fillId="0" borderId="3" xfId="0" applyFont="1" applyBorder="1" applyAlignment="1">
      <alignment horizontal="center" vertical="center" wrapText="1"/>
    </xf>
    <xf numFmtId="0" fontId="43" fillId="0" borderId="7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34" fillId="0" borderId="13" xfId="0" applyNumberFormat="1" applyFont="1" applyBorder="1" applyAlignment="1">
      <alignment horizontal="center"/>
    </xf>
    <xf numFmtId="3" fontId="34" fillId="0" borderId="4" xfId="0" applyNumberFormat="1" applyFont="1" applyBorder="1" applyAlignment="1">
      <alignment horizontal="center"/>
    </xf>
    <xf numFmtId="3" fontId="34" fillId="0" borderId="1" xfId="0" applyNumberFormat="1" applyFont="1" applyBorder="1" applyAlignment="1">
      <alignment horizontal="center"/>
    </xf>
    <xf numFmtId="3" fontId="34" fillId="0" borderId="5" xfId="0" applyNumberFormat="1" applyFont="1" applyBorder="1" applyAlignment="1">
      <alignment horizontal="center"/>
    </xf>
    <xf numFmtId="3" fontId="34" fillId="0" borderId="74" xfId="0" applyNumberFormat="1" applyFont="1" applyBorder="1" applyAlignment="1">
      <alignment horizontal="center"/>
    </xf>
    <xf numFmtId="3" fontId="48" fillId="0" borderId="13" xfId="0" applyNumberFormat="1" applyFont="1" applyBorder="1" applyAlignment="1">
      <alignment horizontal="center"/>
    </xf>
    <xf numFmtId="3" fontId="48" fillId="0" borderId="4" xfId="0" applyNumberFormat="1" applyFont="1" applyBorder="1" applyAlignment="1">
      <alignment horizontal="center"/>
    </xf>
    <xf numFmtId="3" fontId="48" fillId="0" borderId="1" xfId="0" applyNumberFormat="1" applyFont="1" applyBorder="1" applyAlignment="1">
      <alignment horizontal="center"/>
    </xf>
    <xf numFmtId="3" fontId="48" fillId="0" borderId="5" xfId="0" applyNumberFormat="1" applyFont="1" applyBorder="1" applyAlignment="1">
      <alignment horizontal="center"/>
    </xf>
    <xf numFmtId="3" fontId="34" fillId="0" borderId="75" xfId="0" applyNumberFormat="1" applyFont="1" applyBorder="1" applyAlignment="1">
      <alignment horizontal="center"/>
    </xf>
    <xf numFmtId="3" fontId="34" fillId="0" borderId="29" xfId="0" applyNumberFormat="1" applyFont="1" applyBorder="1" applyAlignment="1">
      <alignment horizontal="center"/>
    </xf>
    <xf numFmtId="3" fontId="34" fillId="0" borderId="30" xfId="0" applyNumberFormat="1" applyFont="1" applyBorder="1" applyAlignment="1">
      <alignment horizontal="center"/>
    </xf>
    <xf numFmtId="3" fontId="34" fillId="0" borderId="76" xfId="0" applyNumberFormat="1" applyFont="1" applyBorder="1" applyAlignment="1">
      <alignment horizontal="center"/>
    </xf>
    <xf numFmtId="3" fontId="34" fillId="0" borderId="77" xfId="0" applyNumberFormat="1" applyFont="1" applyBorder="1" applyAlignment="1">
      <alignment horizontal="center"/>
    </xf>
    <xf numFmtId="3" fontId="34" fillId="0" borderId="31" xfId="0" applyNumberFormat="1" applyFont="1" applyBorder="1"/>
    <xf numFmtId="3" fontId="34" fillId="0" borderId="25" xfId="0" applyNumberFormat="1" applyFont="1" applyBorder="1" applyAlignment="1">
      <alignment horizontal="center"/>
    </xf>
    <xf numFmtId="3" fontId="34" fillId="0" borderId="26" xfId="0" applyNumberFormat="1" applyFont="1" applyBorder="1" applyAlignment="1">
      <alignment horizontal="center"/>
    </xf>
    <xf numFmtId="3" fontId="34" fillId="0" borderId="38" xfId="0" applyNumberFormat="1" applyFont="1" applyBorder="1" applyAlignment="1">
      <alignment horizontal="center"/>
    </xf>
    <xf numFmtId="3" fontId="34" fillId="0" borderId="0" xfId="0" applyNumberFormat="1" applyFont="1"/>
    <xf numFmtId="0" fontId="50" fillId="0" borderId="0" xfId="0" applyFont="1"/>
    <xf numFmtId="166" fontId="50" fillId="0" borderId="0" xfId="0" applyNumberFormat="1" applyFont="1" applyAlignment="1">
      <alignment horizontal="center"/>
    </xf>
    <xf numFmtId="166" fontId="52" fillId="0" borderId="16" xfId="0" applyNumberFormat="1" applyFont="1" applyBorder="1" applyAlignment="1">
      <alignment horizontal="center"/>
    </xf>
    <xf numFmtId="166" fontId="35" fillId="0" borderId="12" xfId="0" applyNumberFormat="1" applyFont="1" applyBorder="1" applyAlignment="1">
      <alignment horizontal="center"/>
    </xf>
    <xf numFmtId="166" fontId="35" fillId="0" borderId="13" xfId="0" applyNumberFormat="1" applyFont="1" applyBorder="1" applyAlignment="1">
      <alignment horizontal="center"/>
    </xf>
    <xf numFmtId="0" fontId="0" fillId="0" borderId="36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4" fontId="0" fillId="0" borderId="27" xfId="0" applyNumberFormat="1" applyBorder="1"/>
    <xf numFmtId="164" fontId="0" fillId="0" borderId="28" xfId="0" applyNumberFormat="1" applyBorder="1"/>
    <xf numFmtId="0" fontId="5" fillId="0" borderId="21" xfId="0" applyFont="1" applyBorder="1"/>
    <xf numFmtId="4" fontId="5" fillId="0" borderId="4" xfId="0" applyNumberFormat="1" applyFont="1" applyBorder="1"/>
    <xf numFmtId="164" fontId="0" fillId="0" borderId="21" xfId="0" applyNumberFormat="1" applyBorder="1"/>
    <xf numFmtId="164" fontId="5" fillId="0" borderId="22" xfId="0" applyNumberFormat="1" applyFont="1" applyBorder="1"/>
    <xf numFmtId="4" fontId="0" fillId="0" borderId="23" xfId="0" applyNumberFormat="1" applyBorder="1"/>
    <xf numFmtId="164" fontId="5" fillId="0" borderId="43" xfId="0" applyNumberFormat="1" applyFont="1" applyBorder="1"/>
    <xf numFmtId="164" fontId="5" fillId="0" borderId="44" xfId="0" applyNumberFormat="1" applyFont="1" applyBorder="1"/>
    <xf numFmtId="164" fontId="5" fillId="0" borderId="63" xfId="0" applyNumberFormat="1" applyFont="1" applyBorder="1"/>
    <xf numFmtId="4" fontId="25" fillId="0" borderId="0" xfId="0" applyNumberFormat="1" applyFont="1" applyAlignment="1">
      <alignment horizontal="center"/>
    </xf>
    <xf numFmtId="0" fontId="35" fillId="0" borderId="0" xfId="0" applyFont="1" applyAlignment="1">
      <alignment horizontal="left"/>
    </xf>
    <xf numFmtId="0" fontId="31" fillId="0" borderId="46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164" fontId="0" fillId="0" borderId="78" xfId="0" applyNumberFormat="1" applyBorder="1"/>
    <xf numFmtId="164" fontId="37" fillId="0" borderId="12" xfId="0" applyNumberFormat="1" applyFont="1" applyBorder="1"/>
    <xf numFmtId="4" fontId="1" fillId="0" borderId="79" xfId="0" applyNumberFormat="1" applyFont="1" applyBorder="1" applyAlignment="1">
      <alignment horizontal="center"/>
    </xf>
    <xf numFmtId="164" fontId="0" fillId="0" borderId="80" xfId="0" applyNumberFormat="1" applyBorder="1"/>
    <xf numFmtId="0" fontId="0" fillId="0" borderId="1" xfId="0" applyBorder="1" applyAlignment="1">
      <alignment horizontal="center" vertical="center" wrapText="1"/>
    </xf>
    <xf numFmtId="164" fontId="37" fillId="0" borderId="79" xfId="0" applyNumberFormat="1" applyFont="1" applyBorder="1"/>
    <xf numFmtId="164" fontId="0" fillId="0" borderId="13" xfId="0" applyNumberFormat="1" applyBorder="1"/>
    <xf numFmtId="164" fontId="0" fillId="0" borderId="79" xfId="0" applyNumberFormat="1" applyBorder="1"/>
    <xf numFmtId="164" fontId="0" fillId="0" borderId="75" xfId="0" applyNumberFormat="1" applyBorder="1"/>
    <xf numFmtId="4" fontId="1" fillId="0" borderId="47" xfId="0" applyNumberFormat="1" applyFont="1" applyBorder="1" applyAlignment="1">
      <alignment horizontal="center"/>
    </xf>
    <xf numFmtId="164" fontId="5" fillId="0" borderId="46" xfId="0" applyNumberFormat="1" applyFont="1" applyBorder="1"/>
    <xf numFmtId="0" fontId="0" fillId="0" borderId="28" xfId="0" applyBorder="1" applyAlignment="1">
      <alignment horizontal="center"/>
    </xf>
    <xf numFmtId="0" fontId="2" fillId="0" borderId="0" xfId="0" applyFont="1"/>
    <xf numFmtId="0" fontId="53" fillId="0" borderId="0" xfId="0" applyFont="1" applyAlignment="1">
      <alignment horizontal="center" vertical="center" wrapText="1"/>
    </xf>
    <xf numFmtId="168" fontId="45" fillId="0" borderId="0" xfId="0" applyNumberFormat="1" applyFont="1" applyAlignment="1">
      <alignment horizontal="center" vertical="center"/>
    </xf>
    <xf numFmtId="0" fontId="26" fillId="0" borderId="6" xfId="0" applyFont="1" applyBorder="1"/>
    <xf numFmtId="166" fontId="26" fillId="0" borderId="8" xfId="0" applyNumberFormat="1" applyFont="1" applyBorder="1" applyAlignment="1">
      <alignment horizontal="center"/>
    </xf>
    <xf numFmtId="0" fontId="35" fillId="0" borderId="4" xfId="0" applyFont="1" applyBorder="1"/>
    <xf numFmtId="166" fontId="35" fillId="0" borderId="5" xfId="0" applyNumberFormat="1" applyFont="1" applyBorder="1" applyAlignment="1">
      <alignment horizontal="center"/>
    </xf>
    <xf numFmtId="0" fontId="35" fillId="0" borderId="27" xfId="0" applyFont="1" applyBorder="1"/>
    <xf numFmtId="166" fontId="35" fillId="0" borderId="28" xfId="0" applyNumberFormat="1" applyFont="1" applyBorder="1" applyAlignment="1">
      <alignment horizontal="center"/>
    </xf>
    <xf numFmtId="0" fontId="26" fillId="0" borderId="25" xfId="0" applyFont="1" applyBorder="1"/>
    <xf numFmtId="166" fontId="26" fillId="0" borderId="42" xfId="0" applyNumberFormat="1" applyFont="1" applyBorder="1" applyAlignment="1">
      <alignment horizontal="center"/>
    </xf>
    <xf numFmtId="166" fontId="35" fillId="0" borderId="0" xfId="0" applyNumberFormat="1" applyFont="1" applyAlignment="1">
      <alignment horizontal="center"/>
    </xf>
    <xf numFmtId="0" fontId="53" fillId="0" borderId="0" xfId="0" applyFont="1"/>
    <xf numFmtId="168" fontId="33" fillId="0" borderId="0" xfId="0" applyNumberFormat="1" applyFont="1"/>
    <xf numFmtId="0" fontId="46" fillId="0" borderId="0" xfId="0" applyFont="1"/>
    <xf numFmtId="0" fontId="35" fillId="0" borderId="15" xfId="0" applyFont="1" applyBorder="1"/>
    <xf numFmtId="166" fontId="35" fillId="0" borderId="16" xfId="0" applyNumberFormat="1" applyFont="1" applyBorder="1" applyAlignment="1">
      <alignment horizontal="center"/>
    </xf>
    <xf numFmtId="166" fontId="35" fillId="0" borderId="14" xfId="0" applyNumberFormat="1" applyFont="1" applyBorder="1" applyAlignment="1">
      <alignment horizontal="center"/>
    </xf>
    <xf numFmtId="0" fontId="35" fillId="0" borderId="0" xfId="0" applyFont="1"/>
    <xf numFmtId="0" fontId="52" fillId="0" borderId="15" xfId="0" applyFont="1" applyBorder="1"/>
    <xf numFmtId="166" fontId="35" fillId="0" borderId="9" xfId="0" applyNumberFormat="1" applyFont="1" applyBorder="1" applyAlignment="1">
      <alignment horizontal="center"/>
    </xf>
    <xf numFmtId="0" fontId="52" fillId="0" borderId="6" xfId="0" applyFont="1" applyBorder="1"/>
    <xf numFmtId="166" fontId="52" fillId="0" borderId="8" xfId="0" applyNumberFormat="1" applyFont="1" applyBorder="1" applyAlignment="1">
      <alignment horizontal="center"/>
    </xf>
    <xf numFmtId="166" fontId="35" fillId="0" borderId="11" xfId="0" applyNumberFormat="1" applyFont="1" applyBorder="1" applyAlignment="1">
      <alignment horizontal="center"/>
    </xf>
    <xf numFmtId="0" fontId="51" fillId="0" borderId="18" xfId="0" applyFont="1" applyBorder="1"/>
    <xf numFmtId="166" fontId="51" fillId="0" borderId="81" xfId="0" applyNumberFormat="1" applyFont="1" applyBorder="1" applyAlignment="1">
      <alignment horizontal="center"/>
    </xf>
    <xf numFmtId="0" fontId="51" fillId="0" borderId="0" xfId="0" applyFont="1"/>
    <xf numFmtId="166" fontId="51" fillId="0" borderId="0" xfId="0" applyNumberFormat="1" applyFont="1" applyAlignment="1">
      <alignment horizontal="center"/>
    </xf>
    <xf numFmtId="0" fontId="35" fillId="0" borderId="29" xfId="0" applyFont="1" applyBorder="1"/>
    <xf numFmtId="166" fontId="35" fillId="0" borderId="76" xfId="0" applyNumberFormat="1" applyFont="1" applyBorder="1" applyAlignment="1">
      <alignment horizontal="center"/>
    </xf>
    <xf numFmtId="166" fontId="35" fillId="0" borderId="10" xfId="0" applyNumberFormat="1" applyFont="1" applyBorder="1" applyAlignment="1">
      <alignment horizontal="center"/>
    </xf>
    <xf numFmtId="14" fontId="0" fillId="0" borderId="0" xfId="0" applyNumberFormat="1" applyAlignment="1">
      <alignment horizontal="right"/>
    </xf>
    <xf numFmtId="14" fontId="0" fillId="0" borderId="0" xfId="0" applyNumberFormat="1"/>
    <xf numFmtId="0" fontId="27" fillId="0" borderId="0" xfId="0" applyFont="1" applyAlignment="1">
      <alignment horizontal="right"/>
    </xf>
    <xf numFmtId="0" fontId="5" fillId="0" borderId="43" xfId="0" applyFont="1" applyBorder="1" applyAlignment="1">
      <alignment horizontal="center" vertical="center"/>
    </xf>
    <xf numFmtId="166" fontId="26" fillId="0" borderId="0" xfId="0" applyNumberFormat="1" applyFont="1"/>
    <xf numFmtId="166" fontId="27" fillId="0" borderId="0" xfId="0" applyNumberFormat="1" applyFont="1"/>
    <xf numFmtId="0" fontId="5" fillId="0" borderId="1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6" fillId="0" borderId="33" xfId="0" applyFont="1" applyBorder="1" applyAlignment="1">
      <alignment horizontal="left" vertical="center"/>
    </xf>
    <xf numFmtId="3" fontId="6" fillId="0" borderId="5" xfId="0" applyNumberFormat="1" applyFont="1" applyBorder="1"/>
    <xf numFmtId="0" fontId="6" fillId="0" borderId="80" xfId="0" applyFont="1" applyBorder="1" applyAlignment="1">
      <alignment horizontal="center"/>
    </xf>
    <xf numFmtId="0" fontId="5" fillId="0" borderId="79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6" fillId="0" borderId="34" xfId="0" applyFont="1" applyBorder="1" applyAlignment="1">
      <alignment horizontal="left" vertical="center"/>
    </xf>
    <xf numFmtId="3" fontId="6" fillId="0" borderId="2" xfId="0" applyNumberFormat="1" applyFont="1" applyBorder="1"/>
    <xf numFmtId="3" fontId="6" fillId="0" borderId="28" xfId="0" applyNumberFormat="1" applyFont="1" applyBorder="1"/>
    <xf numFmtId="0" fontId="5" fillId="0" borderId="12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6" fillId="0" borderId="85" xfId="0" applyFont="1" applyBorder="1" applyAlignment="1">
      <alignment horizontal="left" vertical="center"/>
    </xf>
    <xf numFmtId="3" fontId="6" fillId="0" borderId="3" xfId="0" applyNumberFormat="1" applyFont="1" applyBorder="1"/>
    <xf numFmtId="3" fontId="6" fillId="0" borderId="16" xfId="0" applyNumberFormat="1" applyFont="1" applyBorder="1"/>
    <xf numFmtId="0" fontId="5" fillId="0" borderId="14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3" fontId="6" fillId="0" borderId="7" xfId="0" applyNumberFormat="1" applyFont="1" applyBorder="1"/>
    <xf numFmtId="3" fontId="6" fillId="0" borderId="8" xfId="0" applyNumberFormat="1" applyFont="1" applyBorder="1"/>
    <xf numFmtId="0" fontId="28" fillId="0" borderId="13" xfId="0" applyFont="1" applyBorder="1" applyAlignment="1">
      <alignment horizontal="center" vertical="center"/>
    </xf>
    <xf numFmtId="0" fontId="28" fillId="0" borderId="82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0" fillId="0" borderId="74" xfId="0" applyBorder="1" applyAlignment="1">
      <alignment horizontal="center"/>
    </xf>
    <xf numFmtId="0" fontId="5" fillId="0" borderId="42" xfId="0" applyFont="1" applyBorder="1" applyAlignment="1">
      <alignment horizontal="right"/>
    </xf>
    <xf numFmtId="0" fontId="0" fillId="0" borderId="15" xfId="0" applyBorder="1"/>
    <xf numFmtId="0" fontId="0" fillId="0" borderId="16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55" fillId="0" borderId="0" xfId="0" applyFont="1"/>
    <xf numFmtId="0" fontId="0" fillId="0" borderId="29" xfId="0" applyBorder="1"/>
    <xf numFmtId="0" fontId="0" fillId="0" borderId="76" xfId="0" applyBorder="1"/>
    <xf numFmtId="0" fontId="56" fillId="0" borderId="0" xfId="0" applyFont="1"/>
    <xf numFmtId="0" fontId="0" fillId="0" borderId="8" xfId="0" applyBorder="1" applyAlignment="1">
      <alignment horizontal="right"/>
    </xf>
    <xf numFmtId="0" fontId="6" fillId="0" borderId="26" xfId="0" applyFont="1" applyBorder="1" applyAlignment="1">
      <alignment horizontal="center"/>
    </xf>
    <xf numFmtId="3" fontId="5" fillId="0" borderId="46" xfId="0" applyNumberFormat="1" applyFont="1" applyBorder="1" applyAlignment="1">
      <alignment horizontal="center"/>
    </xf>
    <xf numFmtId="3" fontId="5" fillId="0" borderId="13" xfId="0" applyNumberFormat="1" applyFont="1" applyBorder="1" applyAlignment="1">
      <alignment horizontal="right"/>
    </xf>
    <xf numFmtId="3" fontId="5" fillId="0" borderId="14" xfId="0" applyNumberFormat="1" applyFont="1" applyBorder="1" applyAlignment="1">
      <alignment horizontal="right"/>
    </xf>
    <xf numFmtId="0" fontId="5" fillId="0" borderId="22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25" fillId="0" borderId="12" xfId="0" applyFont="1" applyBorder="1" applyAlignment="1">
      <alignment horizontal="center" vertical="center"/>
    </xf>
    <xf numFmtId="0" fontId="24" fillId="0" borderId="87" xfId="0" applyFont="1" applyBorder="1" applyAlignment="1">
      <alignment horizontal="center" vertical="center"/>
    </xf>
    <xf numFmtId="0" fontId="24" fillId="0" borderId="55" xfId="0" applyFont="1" applyBorder="1" applyAlignment="1">
      <alignment horizontal="center" vertical="center"/>
    </xf>
    <xf numFmtId="0" fontId="25" fillId="0" borderId="2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3" fontId="36" fillId="0" borderId="16" xfId="0" applyNumberFormat="1" applyFont="1" applyBorder="1"/>
    <xf numFmtId="3" fontId="36" fillId="0" borderId="40" xfId="0" applyNumberFormat="1" applyFont="1" applyBorder="1"/>
    <xf numFmtId="3" fontId="36" fillId="0" borderId="5" xfId="0" applyNumberFormat="1" applyFont="1" applyBorder="1"/>
    <xf numFmtId="3" fontId="36" fillId="0" borderId="59" xfId="0" applyNumberFormat="1" applyFont="1" applyBorder="1"/>
    <xf numFmtId="3" fontId="36" fillId="0" borderId="8" xfId="0" applyNumberFormat="1" applyFont="1" applyBorder="1"/>
    <xf numFmtId="3" fontId="36" fillId="0" borderId="63" xfId="0" applyNumberFormat="1" applyFont="1" applyBorder="1"/>
    <xf numFmtId="0" fontId="35" fillId="0" borderId="0" xfId="0" applyFont="1" applyAlignment="1">
      <alignment horizontal="center"/>
    </xf>
    <xf numFmtId="0" fontId="35" fillId="0" borderId="89" xfId="0" applyFont="1" applyBorder="1" applyAlignment="1">
      <alignment horizontal="center"/>
    </xf>
    <xf numFmtId="0" fontId="5" fillId="0" borderId="55" xfId="0" applyFont="1" applyBorder="1" applyAlignment="1">
      <alignment horizontal="center" vertical="center"/>
    </xf>
    <xf numFmtId="3" fontId="6" fillId="0" borderId="55" xfId="0" applyNumberFormat="1" applyFont="1" applyBorder="1"/>
    <xf numFmtId="0" fontId="6" fillId="0" borderId="55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28" fillId="0" borderId="79" xfId="0" applyFont="1" applyBorder="1" applyAlignment="1">
      <alignment horizontal="center" vertical="center"/>
    </xf>
    <xf numFmtId="3" fontId="36" fillId="0" borderId="28" xfId="0" applyNumberFormat="1" applyFont="1" applyBorder="1"/>
    <xf numFmtId="0" fontId="28" fillId="0" borderId="80" xfId="0" applyFont="1" applyBorder="1" applyAlignment="1">
      <alignment horizontal="center" vertical="center"/>
    </xf>
    <xf numFmtId="3" fontId="36" fillId="0" borderId="88" xfId="0" applyNumberFormat="1" applyFont="1" applyBorder="1"/>
    <xf numFmtId="0" fontId="28" fillId="0" borderId="46" xfId="0" applyFont="1" applyBorder="1" applyAlignment="1">
      <alignment horizontal="center" vertical="center"/>
    </xf>
    <xf numFmtId="3" fontId="36" fillId="0" borderId="42" xfId="0" applyNumberFormat="1" applyFont="1" applyBorder="1"/>
    <xf numFmtId="3" fontId="36" fillId="0" borderId="36" xfId="0" applyNumberFormat="1" applyFont="1" applyBorder="1"/>
    <xf numFmtId="0" fontId="28" fillId="0" borderId="20" xfId="0" applyFont="1" applyBorder="1" applyAlignment="1">
      <alignment horizontal="center" vertical="center"/>
    </xf>
    <xf numFmtId="0" fontId="36" fillId="0" borderId="40" xfId="0" applyFont="1" applyBorder="1" applyAlignment="1">
      <alignment horizontal="center"/>
    </xf>
    <xf numFmtId="3" fontId="36" fillId="0" borderId="55" xfId="0" applyNumberFormat="1" applyFont="1" applyBorder="1"/>
    <xf numFmtId="0" fontId="28" fillId="0" borderId="24" xfId="0" applyFont="1" applyBorder="1" applyAlignment="1">
      <alignment horizontal="center" vertical="center"/>
    </xf>
    <xf numFmtId="0" fontId="36" fillId="0" borderId="59" xfId="0" applyFont="1" applyBorder="1" applyAlignment="1">
      <alignment horizontal="center"/>
    </xf>
    <xf numFmtId="0" fontId="28" fillId="0" borderId="43" xfId="0" applyFont="1" applyBorder="1" applyAlignment="1">
      <alignment horizontal="center" vertical="center"/>
    </xf>
    <xf numFmtId="0" fontId="36" fillId="0" borderId="63" xfId="0" applyFont="1" applyBorder="1" applyAlignment="1">
      <alignment horizontal="center"/>
    </xf>
    <xf numFmtId="3" fontId="36" fillId="0" borderId="44" xfId="0" applyNumberFormat="1" applyFont="1" applyBorder="1"/>
    <xf numFmtId="0" fontId="28" fillId="0" borderId="31" xfId="0" applyFont="1" applyBorder="1" applyAlignment="1">
      <alignment horizontal="center" vertical="center"/>
    </xf>
    <xf numFmtId="0" fontId="36" fillId="0" borderId="36" xfId="0" applyFont="1" applyBorder="1" applyAlignment="1">
      <alignment horizontal="center"/>
    </xf>
    <xf numFmtId="0" fontId="28" fillId="0" borderId="22" xfId="0" applyFont="1" applyBorder="1" applyAlignment="1">
      <alignment horizontal="center" vertical="center"/>
    </xf>
    <xf numFmtId="0" fontId="28" fillId="0" borderId="23" xfId="0" applyFont="1" applyBorder="1" applyAlignment="1">
      <alignment horizontal="center" vertical="center"/>
    </xf>
    <xf numFmtId="0" fontId="28" fillId="0" borderId="90" xfId="0" applyFont="1" applyBorder="1" applyAlignment="1">
      <alignment horizontal="center" vertical="center"/>
    </xf>
    <xf numFmtId="3" fontId="36" fillId="0" borderId="76" xfId="0" applyNumberFormat="1" applyFont="1" applyBorder="1"/>
    <xf numFmtId="0" fontId="5" fillId="0" borderId="46" xfId="0" applyFont="1" applyBorder="1" applyAlignment="1">
      <alignment horizontal="center"/>
    </xf>
    <xf numFmtId="3" fontId="5" fillId="0" borderId="36" xfId="0" applyNumberFormat="1" applyFont="1" applyBorder="1"/>
    <xf numFmtId="0" fontId="5" fillId="0" borderId="31" xfId="0" applyFont="1" applyBorder="1" applyAlignment="1">
      <alignment horizontal="center" vertical="center"/>
    </xf>
    <xf numFmtId="0" fontId="24" fillId="0" borderId="32" xfId="0" applyFont="1" applyBorder="1" applyAlignment="1">
      <alignment horizontal="left" vertical="center"/>
    </xf>
    <xf numFmtId="0" fontId="26" fillId="0" borderId="26" xfId="0" applyFont="1" applyBorder="1" applyAlignment="1">
      <alignment horizontal="center"/>
    </xf>
    <xf numFmtId="0" fontId="26" fillId="0" borderId="42" xfId="0" applyFont="1" applyBorder="1" applyAlignment="1">
      <alignment horizontal="center"/>
    </xf>
    <xf numFmtId="3" fontId="34" fillId="0" borderId="15" xfId="0" applyNumberFormat="1" applyFont="1" applyBorder="1"/>
    <xf numFmtId="3" fontId="34" fillId="0" borderId="3" xfId="0" applyNumberFormat="1" applyFont="1" applyBorder="1"/>
    <xf numFmtId="3" fontId="34" fillId="0" borderId="16" xfId="0" applyNumberFormat="1" applyFont="1" applyBorder="1"/>
    <xf numFmtId="3" fontId="34" fillId="0" borderId="25" xfId="0" applyNumberFormat="1" applyFont="1" applyBorder="1"/>
    <xf numFmtId="3" fontId="34" fillId="0" borderId="26" xfId="0" applyNumberFormat="1" applyFont="1" applyBorder="1"/>
    <xf numFmtId="3" fontId="34" fillId="0" borderId="42" xfId="0" applyNumberFormat="1" applyFont="1" applyBorder="1"/>
    <xf numFmtId="3" fontId="43" fillId="0" borderId="0" xfId="0" applyNumberFormat="1" applyFont="1" applyAlignment="1">
      <alignment horizontal="center"/>
    </xf>
    <xf numFmtId="3" fontId="48" fillId="0" borderId="25" xfId="0" applyNumberFormat="1" applyFont="1" applyBorder="1"/>
    <xf numFmtId="3" fontId="48" fillId="0" borderId="26" xfId="0" applyNumberFormat="1" applyFont="1" applyBorder="1"/>
    <xf numFmtId="3" fontId="48" fillId="0" borderId="3" xfId="0" applyNumberFormat="1" applyFont="1" applyBorder="1"/>
    <xf numFmtId="3" fontId="48" fillId="0" borderId="16" xfId="0" applyNumberFormat="1" applyFont="1" applyBorder="1"/>
    <xf numFmtId="3" fontId="48" fillId="0" borderId="15" xfId="0" applyNumberFormat="1" applyFont="1" applyBorder="1"/>
    <xf numFmtId="3" fontId="27" fillId="0" borderId="0" xfId="0" applyNumberFormat="1" applyFont="1" applyAlignment="1">
      <alignment horizontal="left"/>
    </xf>
    <xf numFmtId="3" fontId="34" fillId="0" borderId="18" xfId="0" applyNumberFormat="1" applyFont="1" applyBorder="1"/>
    <xf numFmtId="3" fontId="34" fillId="0" borderId="92" xfId="0" applyNumberFormat="1" applyFont="1" applyBorder="1"/>
    <xf numFmtId="0" fontId="5" fillId="0" borderId="54" xfId="0" applyFont="1" applyBorder="1" applyAlignment="1">
      <alignment horizontal="center"/>
    </xf>
    <xf numFmtId="0" fontId="0" fillId="0" borderId="84" xfId="0" applyBorder="1" applyAlignment="1">
      <alignment horizontal="center"/>
    </xf>
    <xf numFmtId="166" fontId="5" fillId="0" borderId="0" xfId="0" applyNumberFormat="1" applyFont="1" applyAlignment="1">
      <alignment horizontal="center"/>
    </xf>
    <xf numFmtId="166" fontId="6" fillId="0" borderId="0" xfId="0" applyNumberFormat="1" applyFont="1"/>
    <xf numFmtId="3" fontId="57" fillId="0" borderId="40" xfId="0" applyNumberFormat="1" applyFont="1" applyBorder="1"/>
    <xf numFmtId="3" fontId="57" fillId="0" borderId="59" xfId="0" applyNumberFormat="1" applyFont="1" applyBorder="1"/>
    <xf numFmtId="3" fontId="57" fillId="0" borderId="63" xfId="0" applyNumberFormat="1" applyFont="1" applyBorder="1"/>
    <xf numFmtId="3" fontId="57" fillId="0" borderId="36" xfId="0" applyNumberFormat="1" applyFont="1" applyBorder="1"/>
    <xf numFmtId="3" fontId="57" fillId="0" borderId="87" xfId="0" applyNumberFormat="1" applyFont="1" applyBorder="1"/>
    <xf numFmtId="3" fontId="57" fillId="0" borderId="80" xfId="0" applyNumberFormat="1" applyFont="1" applyBorder="1"/>
    <xf numFmtId="3" fontId="57" fillId="0" borderId="47" xfId="0" applyNumberFormat="1" applyFont="1" applyBorder="1"/>
    <xf numFmtId="0" fontId="5" fillId="0" borderId="87" xfId="0" applyFont="1" applyBorder="1" applyAlignment="1">
      <alignment horizontal="center"/>
    </xf>
    <xf numFmtId="0" fontId="5" fillId="0" borderId="17" xfId="0" applyFont="1" applyBorder="1"/>
    <xf numFmtId="0" fontId="5" fillId="0" borderId="89" xfId="0" applyFont="1" applyBorder="1" applyAlignment="1">
      <alignment horizontal="center"/>
    </xf>
    <xf numFmtId="0" fontId="5" fillId="0" borderId="93" xfId="0" applyFont="1" applyBorder="1" applyAlignment="1">
      <alignment horizontal="center"/>
    </xf>
    <xf numFmtId="0" fontId="5" fillId="0" borderId="89" xfId="0" applyFont="1" applyBorder="1"/>
    <xf numFmtId="0" fontId="5" fillId="0" borderId="55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/>
    <xf numFmtId="0" fontId="1" fillId="0" borderId="3" xfId="0" applyFont="1" applyBorder="1" applyAlignment="1">
      <alignment horizontal="center"/>
    </xf>
    <xf numFmtId="0" fontId="1" fillId="0" borderId="73" xfId="0" applyFont="1" applyBorder="1" applyAlignment="1">
      <alignment horizontal="center"/>
    </xf>
    <xf numFmtId="0" fontId="1" fillId="0" borderId="3" xfId="0" applyFont="1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0" xfId="0" applyFont="1"/>
    <xf numFmtId="0" fontId="5" fillId="0" borderId="14" xfId="0" applyFont="1" applyBorder="1" applyAlignment="1">
      <alignment horizontal="center"/>
    </xf>
    <xf numFmtId="0" fontId="5" fillId="0" borderId="18" xfId="0" applyFont="1" applyBorder="1"/>
    <xf numFmtId="0" fontId="5" fillId="0" borderId="92" xfId="0" applyFont="1" applyBorder="1" applyAlignment="1">
      <alignment horizontal="center"/>
    </xf>
    <xf numFmtId="0" fontId="5" fillId="0" borderId="94" xfId="0" applyFont="1" applyBorder="1" applyAlignment="1">
      <alignment horizontal="center"/>
    </xf>
    <xf numFmtId="0" fontId="5" fillId="0" borderId="92" xfId="0" applyFont="1" applyBorder="1"/>
    <xf numFmtId="0" fontId="5" fillId="0" borderId="6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73" xfId="0" applyBorder="1" applyAlignment="1">
      <alignment horizontal="center"/>
    </xf>
    <xf numFmtId="0" fontId="0" fillId="0" borderId="3" xfId="0" applyBorder="1"/>
    <xf numFmtId="0" fontId="0" fillId="0" borderId="15" xfId="0" applyBorder="1" applyAlignment="1">
      <alignment horizontal="center"/>
    </xf>
    <xf numFmtId="0" fontId="5" fillId="0" borderId="6" xfId="0" applyFont="1" applyBorder="1"/>
    <xf numFmtId="0" fontId="5" fillId="0" borderId="95" xfId="0" applyFont="1" applyBorder="1" applyAlignment="1">
      <alignment horizontal="center"/>
    </xf>
    <xf numFmtId="0" fontId="5" fillId="0" borderId="7" xfId="0" applyFont="1" applyBorder="1"/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5" fillId="0" borderId="47" xfId="0" applyFont="1" applyBorder="1" applyAlignment="1">
      <alignment horizontal="left"/>
    </xf>
    <xf numFmtId="0" fontId="5" fillId="0" borderId="81" xfId="0" applyFont="1" applyBorder="1" applyAlignment="1">
      <alignment horizontal="center"/>
    </xf>
    <xf numFmtId="9" fontId="5" fillId="0" borderId="0" xfId="0" applyNumberFormat="1" applyFont="1" applyAlignment="1">
      <alignment horizontal="center"/>
    </xf>
    <xf numFmtId="0" fontId="58" fillId="0" borderId="3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5" xfId="0" applyFont="1" applyBorder="1"/>
    <xf numFmtId="0" fontId="0" fillId="0" borderId="83" xfId="0" applyBorder="1" applyAlignment="1">
      <alignment horizontal="center"/>
    </xf>
    <xf numFmtId="4" fontId="0" fillId="0" borderId="83" xfId="0" applyNumberFormat="1" applyBorder="1" applyAlignment="1">
      <alignment horizontal="right" vertical="center"/>
    </xf>
    <xf numFmtId="3" fontId="0" fillId="0" borderId="96" xfId="0" applyNumberFormat="1" applyBorder="1" applyAlignment="1">
      <alignment horizontal="right" vertical="center"/>
    </xf>
    <xf numFmtId="0" fontId="0" fillId="0" borderId="24" xfId="0" applyBorder="1" applyAlignment="1">
      <alignment horizontal="center"/>
    </xf>
    <xf numFmtId="4" fontId="0" fillId="0" borderId="79" xfId="0" applyNumberFormat="1" applyBorder="1" applyAlignment="1">
      <alignment horizontal="right" vertical="center"/>
    </xf>
    <xf numFmtId="0" fontId="0" fillId="0" borderId="21" xfId="0" applyBorder="1" applyAlignment="1">
      <alignment horizontal="center"/>
    </xf>
    <xf numFmtId="4" fontId="0" fillId="0" borderId="13" xfId="0" applyNumberFormat="1" applyBorder="1" applyAlignment="1">
      <alignment horizontal="right" vertical="center"/>
    </xf>
    <xf numFmtId="0" fontId="0" fillId="0" borderId="22" xfId="0" applyBorder="1" applyAlignment="1">
      <alignment horizontal="center"/>
    </xf>
    <xf numFmtId="4" fontId="0" fillId="0" borderId="14" xfId="0" applyNumberFormat="1" applyBorder="1" applyAlignment="1">
      <alignment horizontal="right" vertical="center"/>
    </xf>
    <xf numFmtId="4" fontId="0" fillId="0" borderId="47" xfId="0" applyNumberFormat="1" applyBorder="1" applyAlignment="1">
      <alignment horizontal="right" vertical="center"/>
    </xf>
    <xf numFmtId="4" fontId="0" fillId="0" borderId="84" xfId="0" applyNumberFormat="1" applyBorder="1" applyAlignment="1">
      <alignment horizontal="right" vertical="center"/>
    </xf>
    <xf numFmtId="4" fontId="0" fillId="0" borderId="9" xfId="0" applyNumberFormat="1" applyBorder="1" applyAlignment="1">
      <alignment horizontal="right" vertical="center"/>
    </xf>
    <xf numFmtId="0" fontId="5" fillId="0" borderId="84" xfId="0" applyFont="1" applyBorder="1" applyAlignment="1">
      <alignment horizontal="center"/>
    </xf>
    <xf numFmtId="4" fontId="5" fillId="0" borderId="84" xfId="0" applyNumberFormat="1" applyFont="1" applyBorder="1" applyAlignment="1">
      <alignment horizontal="right" vertical="center"/>
    </xf>
    <xf numFmtId="4" fontId="5" fillId="0" borderId="9" xfId="0" applyNumberFormat="1" applyFont="1" applyBorder="1" applyAlignment="1">
      <alignment horizontal="right" vertical="center"/>
    </xf>
    <xf numFmtId="0" fontId="0" fillId="0" borderId="27" xfId="0" applyBorder="1"/>
    <xf numFmtId="0" fontId="6" fillId="0" borderId="4" xfId="0" applyFont="1" applyBorder="1"/>
    <xf numFmtId="0" fontId="6" fillId="0" borderId="21" xfId="0" applyFont="1" applyBorder="1" applyAlignment="1">
      <alignment horizontal="center"/>
    </xf>
    <xf numFmtId="4" fontId="6" fillId="0" borderId="13" xfId="0" applyNumberFormat="1" applyFont="1" applyBorder="1" applyAlignment="1">
      <alignment horizontal="right" vertical="center"/>
    </xf>
    <xf numFmtId="0" fontId="1" fillId="0" borderId="4" xfId="0" applyFont="1" applyBorder="1"/>
    <xf numFmtId="0" fontId="1" fillId="0" borderId="21" xfId="0" applyFont="1" applyBorder="1" applyAlignment="1">
      <alignment horizontal="center"/>
    </xf>
    <xf numFmtId="4" fontId="1" fillId="0" borderId="13" xfId="0" applyNumberFormat="1" applyFont="1" applyBorder="1" applyAlignment="1">
      <alignment horizontal="right" vertical="center"/>
    </xf>
    <xf numFmtId="4" fontId="1" fillId="0" borderId="79" xfId="0" applyNumberFormat="1" applyFont="1" applyBorder="1" applyAlignment="1">
      <alignment horizontal="right" vertical="center"/>
    </xf>
    <xf numFmtId="0" fontId="5" fillId="0" borderId="20" xfId="0" applyFont="1" applyBorder="1"/>
    <xf numFmtId="169" fontId="5" fillId="0" borderId="12" xfId="0" applyNumberFormat="1" applyFont="1" applyBorder="1" applyAlignment="1">
      <alignment horizontal="right" vertical="center"/>
    </xf>
    <xf numFmtId="4" fontId="5" fillId="0" borderId="12" xfId="0" applyNumberFormat="1" applyFont="1" applyBorder="1" applyAlignment="1">
      <alignment horizontal="right" vertical="center"/>
    </xf>
    <xf numFmtId="0" fontId="5" fillId="0" borderId="4" xfId="0" applyFont="1" applyBorder="1"/>
    <xf numFmtId="169" fontId="5" fillId="0" borderId="13" xfId="0" applyNumberFormat="1" applyFont="1" applyBorder="1" applyAlignment="1">
      <alignment horizontal="right" vertical="center"/>
    </xf>
    <xf numFmtId="4" fontId="5" fillId="0" borderId="13" xfId="0" applyNumberFormat="1" applyFont="1" applyBorder="1" applyAlignment="1">
      <alignment horizontal="right" vertical="center"/>
    </xf>
    <xf numFmtId="0" fontId="5" fillId="0" borderId="22" xfId="0" applyFont="1" applyBorder="1"/>
    <xf numFmtId="169" fontId="5" fillId="0" borderId="14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0" fontId="5" fillId="0" borderId="15" xfId="0" applyFont="1" applyBorder="1" applyAlignment="1">
      <alignment horizontal="left"/>
    </xf>
    <xf numFmtId="0" fontId="0" fillId="0" borderId="84" xfId="0" applyBorder="1"/>
    <xf numFmtId="4" fontId="5" fillId="0" borderId="16" xfId="0" applyNumberFormat="1" applyFont="1" applyBorder="1"/>
    <xf numFmtId="0" fontId="5" fillId="0" borderId="43" xfId="0" applyFont="1" applyBorder="1"/>
    <xf numFmtId="0" fontId="5" fillId="0" borderId="44" xfId="0" applyFont="1" applyBorder="1"/>
    <xf numFmtId="4" fontId="5" fillId="0" borderId="63" xfId="0" applyNumberFormat="1" applyFont="1" applyBorder="1"/>
    <xf numFmtId="0" fontId="24" fillId="0" borderId="17" xfId="0" applyFont="1" applyBorder="1" applyAlignment="1">
      <alignment horizontal="left" vertical="center"/>
    </xf>
    <xf numFmtId="0" fontId="5" fillId="0" borderId="25" xfId="0" applyFont="1" applyBorder="1" applyAlignment="1">
      <alignment horizontal="left" vertical="center"/>
    </xf>
    <xf numFmtId="0" fontId="5" fillId="0" borderId="73" xfId="0" applyFont="1" applyBorder="1" applyAlignment="1">
      <alignment horizontal="center"/>
    </xf>
    <xf numFmtId="0" fontId="0" fillId="0" borderId="95" xfId="0" applyBorder="1"/>
    <xf numFmtId="3" fontId="1" fillId="0" borderId="73" xfId="0" applyNumberFormat="1" applyFont="1" applyBorder="1"/>
    <xf numFmtId="3" fontId="1" fillId="0" borderId="74" xfId="0" applyNumberFormat="1" applyFont="1" applyBorder="1"/>
    <xf numFmtId="3" fontId="1" fillId="0" borderId="95" xfId="0" applyNumberFormat="1" applyFont="1" applyBorder="1"/>
    <xf numFmtId="3" fontId="5" fillId="0" borderId="38" xfId="0" applyNumberFormat="1" applyFont="1" applyBorder="1"/>
    <xf numFmtId="3" fontId="1" fillId="0" borderId="41" xfId="0" applyNumberFormat="1" applyFont="1" applyBorder="1"/>
    <xf numFmtId="3" fontId="0" fillId="0" borderId="13" xfId="0" applyNumberFormat="1" applyBorder="1"/>
    <xf numFmtId="3" fontId="0" fillId="0" borderId="12" xfId="0" applyNumberFormat="1" applyBorder="1"/>
    <xf numFmtId="3" fontId="0" fillId="0" borderId="79" xfId="0" applyNumberFormat="1" applyBorder="1"/>
    <xf numFmtId="3" fontId="0" fillId="0" borderId="14" xfId="0" applyNumberFormat="1" applyBorder="1"/>
    <xf numFmtId="3" fontId="0" fillId="0" borderId="75" xfId="0" applyNumberFormat="1" applyBorder="1"/>
    <xf numFmtId="3" fontId="5" fillId="0" borderId="46" xfId="0" applyNumberFormat="1" applyFont="1" applyBorder="1"/>
    <xf numFmtId="3" fontId="0" fillId="0" borderId="47" xfId="0" applyNumberFormat="1" applyBorder="1"/>
    <xf numFmtId="0" fontId="1" fillId="0" borderId="2" xfId="0" applyFont="1" applyBorder="1"/>
    <xf numFmtId="3" fontId="27" fillId="0" borderId="7" xfId="0" applyNumberFormat="1" applyFont="1" applyBorder="1"/>
    <xf numFmtId="3" fontId="1" fillId="0" borderId="8" xfId="0" applyNumberFormat="1" applyFont="1" applyBorder="1"/>
    <xf numFmtId="0" fontId="27" fillId="0" borderId="0" xfId="0" applyFont="1" applyAlignment="1">
      <alignment horizontal="center"/>
    </xf>
    <xf numFmtId="3" fontId="25" fillId="0" borderId="42" xfId="0" applyNumberFormat="1" applyFont="1" applyBorder="1"/>
    <xf numFmtId="3" fontId="6" fillId="0" borderId="40" xfId="0" applyNumberFormat="1" applyFont="1" applyBorder="1"/>
    <xf numFmtId="0" fontId="26" fillId="0" borderId="43" xfId="0" applyFont="1" applyBorder="1" applyAlignment="1">
      <alignment horizontal="left" vertical="center"/>
    </xf>
    <xf numFmtId="3" fontId="26" fillId="0" borderId="44" xfId="0" applyNumberFormat="1" applyFont="1" applyBorder="1"/>
    <xf numFmtId="3" fontId="6" fillId="0" borderId="44" xfId="0" applyNumberFormat="1" applyFont="1" applyBorder="1"/>
    <xf numFmtId="3" fontId="6" fillId="0" borderId="63" xfId="0" applyNumberFormat="1" applyFont="1" applyBorder="1"/>
    <xf numFmtId="0" fontId="59" fillId="0" borderId="97" xfId="0" applyFont="1" applyBorder="1" applyAlignment="1">
      <alignment horizontal="center"/>
    </xf>
    <xf numFmtId="0" fontId="5" fillId="0" borderId="23" xfId="0" applyFont="1" applyBorder="1"/>
    <xf numFmtId="0" fontId="0" fillId="0" borderId="32" xfId="0" applyBorder="1" applyAlignment="1">
      <alignment horizontal="right"/>
    </xf>
    <xf numFmtId="0" fontId="1" fillId="0" borderId="98" xfId="0" applyFont="1" applyBorder="1" applyAlignment="1">
      <alignment horizontal="center"/>
    </xf>
    <xf numFmtId="0" fontId="0" fillId="0" borderId="80" xfId="0" applyBorder="1" applyAlignment="1">
      <alignment horizontal="center"/>
    </xf>
    <xf numFmtId="164" fontId="0" fillId="0" borderId="14" xfId="0" applyNumberFormat="1" applyBorder="1"/>
    <xf numFmtId="0" fontId="5" fillId="0" borderId="47" xfId="0" applyFont="1" applyBorder="1" applyAlignment="1">
      <alignment horizontal="center"/>
    </xf>
    <xf numFmtId="3" fontId="27" fillId="0" borderId="44" xfId="0" applyNumberFormat="1" applyFont="1" applyBorder="1" applyAlignment="1">
      <alignment horizontal="center"/>
    </xf>
    <xf numFmtId="168" fontId="0" fillId="0" borderId="0" xfId="0" applyNumberFormat="1" applyAlignment="1">
      <alignment horizontal="right"/>
    </xf>
    <xf numFmtId="164" fontId="5" fillId="0" borderId="36" xfId="0" applyNumberFormat="1" applyFont="1" applyBorder="1"/>
    <xf numFmtId="164" fontId="1" fillId="0" borderId="28" xfId="0" applyNumberFormat="1" applyFont="1" applyBorder="1"/>
    <xf numFmtId="0" fontId="5" fillId="0" borderId="4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3" fontId="5" fillId="0" borderId="41" xfId="0" applyNumberFormat="1" applyFont="1" applyBorder="1"/>
    <xf numFmtId="0" fontId="6" fillId="0" borderId="25" xfId="0" applyFont="1" applyBorder="1" applyAlignment="1">
      <alignment horizontal="left"/>
    </xf>
    <xf numFmtId="0" fontId="5" fillId="0" borderId="42" xfId="0" applyFont="1" applyBorder="1"/>
    <xf numFmtId="0" fontId="5" fillId="0" borderId="28" xfId="0" applyFont="1" applyBorder="1"/>
    <xf numFmtId="0" fontId="5" fillId="0" borderId="5" xfId="0" applyFont="1" applyBorder="1"/>
    <xf numFmtId="0" fontId="5" fillId="0" borderId="8" xfId="0" applyFont="1" applyBorder="1"/>
    <xf numFmtId="0" fontId="6" fillId="0" borderId="43" xfId="0" applyFont="1" applyBorder="1"/>
    <xf numFmtId="0" fontId="6" fillId="0" borderId="44" xfId="0" applyFont="1" applyBorder="1"/>
    <xf numFmtId="0" fontId="5" fillId="0" borderId="81" xfId="0" applyFont="1" applyBorder="1"/>
    <xf numFmtId="0" fontId="5" fillId="6" borderId="32" xfId="0" applyFont="1" applyFill="1" applyBorder="1"/>
    <xf numFmtId="3" fontId="5" fillId="6" borderId="83" xfId="0" applyNumberFormat="1" applyFont="1" applyFill="1" applyBorder="1"/>
    <xf numFmtId="3" fontId="5" fillId="6" borderId="82" xfId="0" applyNumberFormat="1" applyFont="1" applyFill="1" applyBorder="1"/>
    <xf numFmtId="3" fontId="5" fillId="6" borderId="86" xfId="0" applyNumberFormat="1" applyFont="1" applyFill="1" applyBorder="1"/>
    <xf numFmtId="3" fontId="5" fillId="6" borderId="46" xfId="0" applyNumberFormat="1" applyFont="1" applyFill="1" applyBorder="1"/>
    <xf numFmtId="3" fontId="5" fillId="0" borderId="31" xfId="0" applyNumberFormat="1" applyFont="1" applyBorder="1" applyAlignment="1">
      <alignment horizontal="center"/>
    </xf>
    <xf numFmtId="3" fontId="5" fillId="0" borderId="21" xfId="0" applyNumberFormat="1" applyFont="1" applyBorder="1" applyAlignment="1">
      <alignment horizontal="right"/>
    </xf>
    <xf numFmtId="3" fontId="5" fillId="0" borderId="21" xfId="0" applyNumberFormat="1" applyFont="1" applyBorder="1"/>
    <xf numFmtId="3" fontId="5" fillId="0" borderId="22" xfId="0" applyNumberFormat="1" applyFont="1" applyBorder="1" applyAlignment="1">
      <alignment horizontal="right"/>
    </xf>
    <xf numFmtId="3" fontId="5" fillId="0" borderId="31" xfId="0" applyNumberFormat="1" applyFont="1" applyBorder="1"/>
    <xf numFmtId="3" fontId="5" fillId="0" borderId="79" xfId="0" applyNumberFormat="1" applyFont="1" applyBorder="1"/>
    <xf numFmtId="0" fontId="28" fillId="0" borderId="0" xfId="0" applyFont="1"/>
    <xf numFmtId="0" fontId="28" fillId="0" borderId="44" xfId="0" applyFont="1" applyBorder="1"/>
    <xf numFmtId="3" fontId="28" fillId="0" borderId="44" xfId="0" applyNumberFormat="1" applyFont="1" applyBorder="1"/>
    <xf numFmtId="10" fontId="0" fillId="0" borderId="0" xfId="0" applyNumberFormat="1"/>
    <xf numFmtId="4" fontId="0" fillId="0" borderId="0" xfId="0" applyNumberFormat="1" applyAlignment="1">
      <alignment horizontal="center"/>
    </xf>
    <xf numFmtId="0" fontId="43" fillId="0" borderId="46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center" wrapText="1"/>
    </xf>
    <xf numFmtId="0" fontId="26" fillId="7" borderId="46" xfId="0" applyFont="1" applyFill="1" applyBorder="1" applyAlignment="1">
      <alignment horizontal="center" wrapText="1"/>
    </xf>
    <xf numFmtId="0" fontId="26" fillId="7" borderId="36" xfId="0" applyFont="1" applyFill="1" applyBorder="1" applyAlignment="1">
      <alignment horizontal="center" wrapText="1"/>
    </xf>
    <xf numFmtId="0" fontId="24" fillId="0" borderId="0" xfId="0" applyFont="1" applyAlignment="1">
      <alignment horizontal="center"/>
    </xf>
    <xf numFmtId="0" fontId="24" fillId="0" borderId="47" xfId="0" applyFont="1" applyBorder="1" applyAlignment="1">
      <alignment horizontal="center" vertical="center" wrapText="1"/>
    </xf>
    <xf numFmtId="0" fontId="26" fillId="0" borderId="63" xfId="0" applyFont="1" applyBorder="1" applyAlignment="1">
      <alignment horizontal="center" vertical="center" wrapText="1"/>
    </xf>
    <xf numFmtId="0" fontId="26" fillId="7" borderId="63" xfId="0" applyFont="1" applyFill="1" applyBorder="1" applyAlignment="1">
      <alignment horizontal="center" vertical="center" wrapText="1"/>
    </xf>
    <xf numFmtId="0" fontId="6" fillId="0" borderId="47" xfId="0" applyFont="1" applyBorder="1" applyAlignment="1">
      <alignment wrapText="1"/>
    </xf>
    <xf numFmtId="3" fontId="6" fillId="0" borderId="63" xfId="0" applyNumberFormat="1" applyFont="1" applyBorder="1" applyAlignment="1">
      <alignment horizontal="right"/>
    </xf>
    <xf numFmtId="3" fontId="6" fillId="7" borderId="63" xfId="0" applyNumberFormat="1" applyFont="1" applyFill="1" applyBorder="1" applyAlignment="1">
      <alignment horizontal="right"/>
    </xf>
    <xf numFmtId="0" fontId="36" fillId="0" borderId="47" xfId="0" applyFont="1" applyBorder="1"/>
    <xf numFmtId="3" fontId="36" fillId="0" borderId="63" xfId="0" applyNumberFormat="1" applyFont="1" applyBorder="1" applyAlignment="1">
      <alignment horizontal="center"/>
    </xf>
    <xf numFmtId="3" fontId="36" fillId="7" borderId="63" xfId="0" applyNumberFormat="1" applyFont="1" applyFill="1" applyBorder="1" applyAlignment="1">
      <alignment horizontal="center"/>
    </xf>
    <xf numFmtId="4" fontId="6" fillId="0" borderId="63" xfId="0" applyNumberFormat="1" applyFont="1" applyBorder="1" applyAlignment="1">
      <alignment horizontal="center"/>
    </xf>
    <xf numFmtId="4" fontId="6" fillId="7" borderId="63" xfId="0" applyNumberFormat="1" applyFont="1" applyFill="1" applyBorder="1" applyAlignment="1">
      <alignment horizontal="center"/>
    </xf>
    <xf numFmtId="0" fontId="6" fillId="0" borderId="80" xfId="0" applyFont="1" applyBorder="1" applyAlignment="1">
      <alignment wrapText="1"/>
    </xf>
    <xf numFmtId="4" fontId="6" fillId="0" borderId="59" xfId="0" applyNumberFormat="1" applyFont="1" applyBorder="1" applyAlignment="1">
      <alignment horizontal="center"/>
    </xf>
    <xf numFmtId="4" fontId="6" fillId="7" borderId="59" xfId="0" applyNumberFormat="1" applyFont="1" applyFill="1" applyBorder="1" applyAlignment="1">
      <alignment horizontal="center"/>
    </xf>
    <xf numFmtId="0" fontId="5" fillId="6" borderId="46" xfId="0" applyFont="1" applyFill="1" applyBorder="1"/>
    <xf numFmtId="4" fontId="5" fillId="6" borderId="46" xfId="0" applyNumberFormat="1" applyFont="1" applyFill="1" applyBorder="1" applyAlignment="1">
      <alignment horizontal="center"/>
    </xf>
    <xf numFmtId="4" fontId="5" fillId="7" borderId="46" xfId="0" applyNumberFormat="1" applyFont="1" applyFill="1" applyBorder="1" applyAlignment="1">
      <alignment horizontal="center"/>
    </xf>
    <xf numFmtId="0" fontId="6" fillId="0" borderId="0" xfId="0" applyFont="1" applyAlignment="1">
      <alignment wrapText="1"/>
    </xf>
    <xf numFmtId="0" fontId="28" fillId="0" borderId="0" xfId="0" applyFont="1" applyAlignment="1">
      <alignment horizontal="center" vertical="center" wrapText="1"/>
    </xf>
    <xf numFmtId="3" fontId="50" fillId="0" borderId="0" xfId="0" applyNumberFormat="1" applyFont="1" applyAlignment="1">
      <alignment horizontal="center" vertical="center"/>
    </xf>
    <xf numFmtId="3" fontId="36" fillId="0" borderId="0" xfId="0" applyNumberFormat="1" applyFont="1" applyAlignment="1">
      <alignment horizontal="center"/>
    </xf>
    <xf numFmtId="165" fontId="0" fillId="0" borderId="0" xfId="0" applyNumberFormat="1"/>
    <xf numFmtId="167" fontId="0" fillId="0" borderId="0" xfId="0" applyNumberFormat="1"/>
    <xf numFmtId="167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7" fontId="5" fillId="0" borderId="0" xfId="0" applyNumberFormat="1" applyFont="1" applyAlignment="1">
      <alignment horizontal="center"/>
    </xf>
    <xf numFmtId="0" fontId="26" fillId="0" borderId="46" xfId="0" applyFont="1" applyBorder="1" applyAlignment="1">
      <alignment horizontal="center" wrapText="1"/>
    </xf>
    <xf numFmtId="0" fontId="26" fillId="0" borderId="47" xfId="0" applyFont="1" applyBorder="1" applyAlignment="1">
      <alignment horizontal="center" vertical="center" wrapText="1"/>
    </xf>
    <xf numFmtId="3" fontId="6" fillId="0" borderId="47" xfId="0" applyNumberFormat="1" applyFont="1" applyBorder="1" applyAlignment="1">
      <alignment horizontal="right"/>
    </xf>
    <xf numFmtId="3" fontId="36" fillId="0" borderId="47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6" fillId="5" borderId="0" xfId="0" applyFont="1" applyFill="1" applyAlignment="1">
      <alignment horizontal="center" wrapText="1"/>
    </xf>
    <xf numFmtId="164" fontId="6" fillId="0" borderId="0" xfId="0" applyNumberFormat="1" applyFont="1" applyAlignment="1">
      <alignment wrapText="1"/>
    </xf>
    <xf numFmtId="10" fontId="6" fillId="0" borderId="0" xfId="0" applyNumberFormat="1" applyFont="1"/>
    <xf numFmtId="164" fontId="0" fillId="6" borderId="0" xfId="0" applyNumberFormat="1" applyFill="1"/>
    <xf numFmtId="164" fontId="27" fillId="6" borderId="0" xfId="0" applyNumberFormat="1" applyFont="1" applyFill="1"/>
    <xf numFmtId="164" fontId="0" fillId="6" borderId="44" xfId="0" applyNumberFormat="1" applyFill="1" applyBorder="1"/>
    <xf numFmtId="164" fontId="27" fillId="0" borderId="44" xfId="0" applyNumberFormat="1" applyFont="1" applyBorder="1"/>
    <xf numFmtId="0" fontId="0" fillId="6" borderId="0" xfId="0" applyFill="1" applyAlignment="1">
      <alignment horizontal="center"/>
    </xf>
    <xf numFmtId="0" fontId="0" fillId="6" borderId="0" xfId="0" applyFill="1"/>
    <xf numFmtId="0" fontId="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8" fillId="9" borderId="26" xfId="0" applyFont="1" applyFill="1" applyBorder="1" applyAlignment="1">
      <alignment horizontal="center" vertical="center"/>
    </xf>
    <xf numFmtId="0" fontId="18" fillId="9" borderId="26" xfId="0" applyFont="1" applyFill="1" applyBorder="1" applyAlignment="1">
      <alignment horizontal="center" vertical="center" wrapText="1"/>
    </xf>
    <xf numFmtId="1" fontId="18" fillId="9" borderId="26" xfId="0" applyNumberFormat="1" applyFont="1" applyFill="1" applyBorder="1" applyAlignment="1">
      <alignment horizontal="center" vertical="center" wrapText="1"/>
    </xf>
    <xf numFmtId="0" fontId="18" fillId="9" borderId="22" xfId="0" applyFont="1" applyFill="1" applyBorder="1" applyAlignment="1">
      <alignment vertical="center"/>
    </xf>
    <xf numFmtId="0" fontId="18" fillId="9" borderId="86" xfId="0" applyFont="1" applyFill="1" applyBorder="1" applyAlignment="1">
      <alignment vertical="center"/>
    </xf>
    <xf numFmtId="0" fontId="18" fillId="9" borderId="19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3" fontId="18" fillId="9" borderId="7" xfId="0" applyNumberFormat="1" applyFont="1" applyFill="1" applyBorder="1" applyAlignment="1">
      <alignment vertical="center"/>
    </xf>
    <xf numFmtId="3" fontId="18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1" fillId="0" borderId="0" xfId="0" applyFont="1" applyAlignment="1">
      <alignment vertical="center"/>
    </xf>
    <xf numFmtId="3" fontId="21" fillId="0" borderId="0" xfId="0" applyNumberFormat="1" applyFont="1" applyAlignment="1">
      <alignment vertical="center"/>
    </xf>
    <xf numFmtId="0" fontId="18" fillId="0" borderId="0" xfId="0" applyFont="1" applyAlignment="1">
      <alignment vertical="center"/>
    </xf>
    <xf numFmtId="3" fontId="18" fillId="0" borderId="0" xfId="0" applyNumberFormat="1" applyFont="1" applyAlignment="1">
      <alignment vertical="center"/>
    </xf>
    <xf numFmtId="0" fontId="2" fillId="0" borderId="3" xfId="0" applyFont="1" applyBorder="1" applyAlignment="1">
      <alignment vertical="center"/>
    </xf>
    <xf numFmtId="3" fontId="2" fillId="9" borderId="8" xfId="0" applyNumberFormat="1" applyFont="1" applyFill="1" applyBorder="1" applyAlignment="1">
      <alignment vertical="center"/>
    </xf>
    <xf numFmtId="3" fontId="18" fillId="9" borderId="1" xfId="0" applyNumberFormat="1" applyFont="1" applyFill="1" applyBorder="1" applyAlignment="1">
      <alignment vertical="center"/>
    </xf>
    <xf numFmtId="3" fontId="18" fillId="9" borderId="26" xfId="0" applyNumberFormat="1" applyFont="1" applyFill="1" applyBorder="1" applyAlignment="1">
      <alignment vertical="center"/>
    </xf>
    <xf numFmtId="3" fontId="18" fillId="9" borderId="42" xfId="0" applyNumberFormat="1" applyFont="1" applyFill="1" applyBorder="1" applyAlignment="1">
      <alignment vertical="center"/>
    </xf>
    <xf numFmtId="0" fontId="2" fillId="0" borderId="0" xfId="0" applyFont="1" applyAlignment="1">
      <alignment vertical="center" wrapText="1"/>
    </xf>
    <xf numFmtId="0" fontId="18" fillId="9" borderId="25" xfId="0" applyFont="1" applyFill="1" applyBorder="1" applyAlignment="1">
      <alignment horizontal="center" vertical="center" wrapText="1"/>
    </xf>
    <xf numFmtId="3" fontId="18" fillId="9" borderId="3" xfId="0" applyNumberFormat="1" applyFont="1" applyFill="1" applyBorder="1" applyAlignment="1">
      <alignment vertical="center"/>
    </xf>
    <xf numFmtId="3" fontId="18" fillId="9" borderId="3" xfId="0" applyNumberFormat="1" applyFont="1" applyFill="1" applyBorder="1" applyAlignment="1">
      <alignment horizontal="right" vertical="center"/>
    </xf>
    <xf numFmtId="0" fontId="2" fillId="10" borderId="1" xfId="0" applyFont="1" applyFill="1" applyBorder="1" applyAlignment="1">
      <alignment horizontal="center" vertical="center"/>
    </xf>
    <xf numFmtId="1" fontId="18" fillId="9" borderId="38" xfId="0" applyNumberFormat="1" applyFont="1" applyFill="1" applyBorder="1" applyAlignment="1">
      <alignment horizontal="center" vertical="center" wrapText="1"/>
    </xf>
    <xf numFmtId="3" fontId="18" fillId="9" borderId="95" xfId="0" applyNumberFormat="1" applyFont="1" applyFill="1" applyBorder="1" applyAlignment="1">
      <alignment vertical="center"/>
    </xf>
    <xf numFmtId="3" fontId="2" fillId="0" borderId="74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3" fontId="18" fillId="9" borderId="73" xfId="0" applyNumberFormat="1" applyFont="1" applyFill="1" applyBorder="1" applyAlignment="1">
      <alignment vertical="center"/>
    </xf>
    <xf numFmtId="3" fontId="18" fillId="9" borderId="74" xfId="0" applyNumberFormat="1" applyFont="1" applyFill="1" applyBorder="1" applyAlignment="1">
      <alignment vertical="center"/>
    </xf>
    <xf numFmtId="3" fontId="18" fillId="9" borderId="73" xfId="0" applyNumberFormat="1" applyFont="1" applyFill="1" applyBorder="1" applyAlignment="1">
      <alignment horizontal="right" vertical="center"/>
    </xf>
    <xf numFmtId="0" fontId="2" fillId="0" borderId="2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3" fontId="2" fillId="0" borderId="1" xfId="0" applyNumberFormat="1" applyFont="1" applyBorder="1" applyAlignment="1">
      <alignment vertical="center" wrapText="1"/>
    </xf>
    <xf numFmtId="0" fontId="2" fillId="0" borderId="74" xfId="0" applyFont="1" applyBorder="1" applyAlignment="1">
      <alignment vertical="center" wrapText="1"/>
    </xf>
    <xf numFmtId="3" fontId="2" fillId="0" borderId="74" xfId="0" applyNumberFormat="1" applyFont="1" applyBorder="1" applyAlignment="1">
      <alignment vertical="center" wrapText="1"/>
    </xf>
    <xf numFmtId="0" fontId="18" fillId="0" borderId="74" xfId="0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 wrapText="1"/>
    </xf>
    <xf numFmtId="0" fontId="18" fillId="0" borderId="31" xfId="0" applyFont="1" applyBorder="1" applyAlignment="1">
      <alignment vertical="center" wrapText="1"/>
    </xf>
    <xf numFmtId="3" fontId="2" fillId="0" borderId="31" xfId="0" applyNumberFormat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73" xfId="0" applyFont="1" applyBorder="1" applyAlignment="1">
      <alignment vertical="center" wrapText="1"/>
    </xf>
    <xf numFmtId="0" fontId="2" fillId="0" borderId="95" xfId="0" applyFont="1" applyBorder="1" applyAlignment="1">
      <alignment vertical="center" wrapText="1"/>
    </xf>
    <xf numFmtId="0" fontId="18" fillId="0" borderId="95" xfId="0" applyFont="1" applyBorder="1" applyAlignment="1">
      <alignment vertical="center" wrapText="1"/>
    </xf>
    <xf numFmtId="3" fontId="60" fillId="0" borderId="74" xfId="0" applyNumberFormat="1" applyFont="1" applyBorder="1" applyAlignment="1">
      <alignment vertical="center"/>
    </xf>
    <xf numFmtId="0" fontId="2" fillId="0" borderId="33" xfId="0" applyFont="1" applyBorder="1" applyAlignment="1">
      <alignment horizontal="center" vertical="center"/>
    </xf>
    <xf numFmtId="3" fontId="2" fillId="9" borderId="95" xfId="0" applyNumberFormat="1" applyFont="1" applyFill="1" applyBorder="1" applyAlignment="1">
      <alignment vertical="center"/>
    </xf>
    <xf numFmtId="3" fontId="18" fillId="9" borderId="38" xfId="0" applyNumberFormat="1" applyFont="1" applyFill="1" applyBorder="1" applyAlignment="1">
      <alignment vertical="center"/>
    </xf>
    <xf numFmtId="3" fontId="61" fillId="0" borderId="31" xfId="0" applyNumberFormat="1" applyFont="1" applyBorder="1" applyAlignment="1">
      <alignment horizontal="right"/>
    </xf>
    <xf numFmtId="3" fontId="2" fillId="0" borderId="1" xfId="0" applyNumberFormat="1" applyFont="1" applyBorder="1"/>
    <xf numFmtId="3" fontId="2" fillId="0" borderId="0" xfId="0" applyNumberFormat="1" applyFont="1"/>
    <xf numFmtId="3" fontId="18" fillId="9" borderId="1" xfId="0" applyNumberFormat="1" applyFont="1" applyFill="1" applyBorder="1"/>
    <xf numFmtId="3" fontId="2" fillId="9" borderId="1" xfId="0" applyNumberFormat="1" applyFont="1" applyFill="1" applyBorder="1"/>
    <xf numFmtId="3" fontId="2" fillId="9" borderId="15" xfId="0" applyNumberFormat="1" applyFont="1" applyFill="1" applyBorder="1"/>
    <xf numFmtId="3" fontId="2" fillId="9" borderId="6" xfId="0" applyNumberFormat="1" applyFont="1" applyFill="1" applyBorder="1"/>
    <xf numFmtId="3" fontId="18" fillId="0" borderId="0" xfId="0" applyNumberFormat="1" applyFont="1"/>
    <xf numFmtId="3" fontId="18" fillId="9" borderId="4" xfId="0" applyNumberFormat="1" applyFont="1" applyFill="1" applyBorder="1"/>
    <xf numFmtId="3" fontId="18" fillId="9" borderId="73" xfId="0" applyNumberFormat="1" applyFont="1" applyFill="1" applyBorder="1"/>
    <xf numFmtId="3" fontId="18" fillId="9" borderId="74" xfId="0" applyNumberFormat="1" applyFont="1" applyFill="1" applyBorder="1"/>
    <xf numFmtId="3" fontId="18" fillId="9" borderId="95" xfId="0" applyNumberFormat="1" applyFont="1" applyFill="1" applyBorder="1"/>
    <xf numFmtId="0" fontId="61" fillId="0" borderId="4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vertical="center"/>
    </xf>
    <xf numFmtId="3" fontId="61" fillId="0" borderId="1" xfId="0" applyNumberFormat="1" applyFont="1" applyBorder="1" applyAlignment="1">
      <alignment vertical="center"/>
    </xf>
    <xf numFmtId="3" fontId="61" fillId="0" borderId="74" xfId="0" applyNumberFormat="1" applyFont="1" applyBorder="1" applyAlignment="1">
      <alignment vertical="center"/>
    </xf>
    <xf numFmtId="0" fontId="61" fillId="0" borderId="74" xfId="0" applyFont="1" applyBorder="1" applyAlignment="1">
      <alignment vertical="center" wrapText="1"/>
    </xf>
    <xf numFmtId="3" fontId="61" fillId="0" borderId="1" xfId="0" applyNumberFormat="1" applyFont="1" applyBorder="1"/>
    <xf numFmtId="0" fontId="62" fillId="0" borderId="0" xfId="0" applyFont="1"/>
    <xf numFmtId="0" fontId="63" fillId="0" borderId="0" xfId="0" applyFont="1"/>
    <xf numFmtId="3" fontId="64" fillId="0" borderId="1" xfId="0" applyNumberFormat="1" applyFont="1" applyBorder="1"/>
    <xf numFmtId="0" fontId="64" fillId="0" borderId="74" xfId="0" applyFont="1" applyBorder="1" applyAlignment="1">
      <alignment vertical="center" wrapText="1"/>
    </xf>
    <xf numFmtId="3" fontId="61" fillId="0" borderId="74" xfId="0" applyNumberFormat="1" applyFont="1" applyBorder="1" applyAlignment="1">
      <alignment vertical="center" wrapText="1"/>
    </xf>
    <xf numFmtId="3" fontId="61" fillId="0" borderId="0" xfId="0" applyNumberFormat="1" applyFont="1" applyAlignment="1">
      <alignment vertical="center"/>
    </xf>
    <xf numFmtId="3" fontId="18" fillId="9" borderId="30" xfId="0" applyNumberFormat="1" applyFont="1" applyFill="1" applyBorder="1" applyAlignment="1">
      <alignment vertical="center"/>
    </xf>
    <xf numFmtId="3" fontId="18" fillId="9" borderId="77" xfId="0" applyNumberFormat="1" applyFont="1" applyFill="1" applyBorder="1" applyAlignment="1">
      <alignment vertical="center"/>
    </xf>
    <xf numFmtId="0" fontId="18" fillId="0" borderId="30" xfId="0" applyFont="1" applyBorder="1" applyAlignment="1">
      <alignment vertical="center" wrapText="1"/>
    </xf>
    <xf numFmtId="3" fontId="18" fillId="9" borderId="30" xfId="0" applyNumberFormat="1" applyFont="1" applyFill="1" applyBorder="1"/>
    <xf numFmtId="3" fontId="2" fillId="0" borderId="2" xfId="0" applyNumberFormat="1" applyFont="1" applyBorder="1"/>
    <xf numFmtId="0" fontId="2" fillId="0" borderId="55" xfId="0" applyFont="1" applyBorder="1" applyAlignment="1">
      <alignment vertical="center" wrapText="1"/>
    </xf>
    <xf numFmtId="3" fontId="2" fillId="0" borderId="3" xfId="0" applyNumberFormat="1" applyFont="1" applyBorder="1"/>
    <xf numFmtId="3" fontId="2" fillId="0" borderId="16" xfId="0" applyNumberFormat="1" applyFont="1" applyBorder="1"/>
    <xf numFmtId="0" fontId="2" fillId="0" borderId="44" xfId="0" applyFont="1" applyBorder="1" applyAlignment="1">
      <alignment vertical="center" wrapText="1"/>
    </xf>
    <xf numFmtId="3" fontId="2" fillId="9" borderId="7" xfId="0" applyNumberFormat="1" applyFont="1" applyFill="1" applyBorder="1"/>
    <xf numFmtId="3" fontId="2" fillId="9" borderId="8" xfId="0" applyNumberFormat="1" applyFont="1" applyFill="1" applyBorder="1"/>
    <xf numFmtId="0" fontId="2" fillId="0" borderId="2" xfId="0" applyFont="1" applyBorder="1" applyAlignment="1">
      <alignment vertical="center" wrapText="1"/>
    </xf>
    <xf numFmtId="0" fontId="18" fillId="9" borderId="3" xfId="0" applyFont="1" applyFill="1" applyBorder="1" applyAlignment="1">
      <alignment horizontal="center" vertical="center" wrapText="1"/>
    </xf>
    <xf numFmtId="3" fontId="2" fillId="9" borderId="16" xfId="0" applyNumberFormat="1" applyFont="1" applyFill="1" applyBorder="1" applyAlignment="1">
      <alignment horizontal="center" vertical="center"/>
    </xf>
    <xf numFmtId="3" fontId="2" fillId="0" borderId="5" xfId="0" applyNumberFormat="1" applyFont="1" applyBorder="1"/>
    <xf numFmtId="0" fontId="2" fillId="0" borderId="7" xfId="0" applyFont="1" applyBorder="1" applyAlignment="1">
      <alignment vertical="center" wrapText="1"/>
    </xf>
    <xf numFmtId="3" fontId="18" fillId="9" borderId="7" xfId="0" applyNumberFormat="1" applyFont="1" applyFill="1" applyBorder="1"/>
    <xf numFmtId="0" fontId="2" fillId="0" borderId="3" xfId="0" applyFont="1" applyBorder="1" applyAlignment="1">
      <alignment vertical="center" wrapText="1"/>
    </xf>
    <xf numFmtId="0" fontId="20" fillId="0" borderId="17" xfId="0" applyFont="1" applyBorder="1" applyAlignment="1">
      <alignment horizontal="center" vertical="center"/>
    </xf>
    <xf numFmtId="0" fontId="2" fillId="0" borderId="89" xfId="0" applyFont="1" applyBorder="1" applyAlignment="1">
      <alignment vertical="center"/>
    </xf>
    <xf numFmtId="3" fontId="18" fillId="0" borderId="89" xfId="0" applyNumberFormat="1" applyFont="1" applyBorder="1" applyAlignment="1">
      <alignment vertical="center"/>
    </xf>
    <xf numFmtId="3" fontId="18" fillId="0" borderId="93" xfId="0" applyNumberFormat="1" applyFont="1" applyBorder="1" applyAlignment="1">
      <alignment vertical="center"/>
    </xf>
    <xf numFmtId="3" fontId="2" fillId="0" borderId="89" xfId="0" applyNumberFormat="1" applyFont="1" applyBorder="1"/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3" fontId="2" fillId="8" borderId="7" xfId="0" applyNumberFormat="1" applyFont="1" applyFill="1" applyBorder="1" applyAlignment="1">
      <alignment vertical="center"/>
    </xf>
    <xf numFmtId="3" fontId="2" fillId="0" borderId="7" xfId="0" applyNumberFormat="1" applyFont="1" applyBorder="1"/>
    <xf numFmtId="3" fontId="2" fillId="0" borderId="8" xfId="0" applyNumberFormat="1" applyFont="1" applyBorder="1"/>
    <xf numFmtId="3" fontId="18" fillId="9" borderId="26" xfId="0" applyNumberFormat="1" applyFont="1" applyFill="1" applyBorder="1"/>
    <xf numFmtId="3" fontId="2" fillId="9" borderId="42" xfId="0" applyNumberFormat="1" applyFont="1" applyFill="1" applyBorder="1"/>
    <xf numFmtId="3" fontId="2" fillId="9" borderId="3" xfId="0" applyNumberFormat="1" applyFont="1" applyFill="1" applyBorder="1"/>
    <xf numFmtId="3" fontId="2" fillId="9" borderId="16" xfId="0" applyNumberFormat="1" applyFont="1" applyFill="1" applyBorder="1"/>
    <xf numFmtId="0" fontId="2" fillId="0" borderId="30" xfId="0" applyFont="1" applyBorder="1" applyAlignment="1">
      <alignment vertical="center" wrapText="1"/>
    </xf>
    <xf numFmtId="3" fontId="2" fillId="0" borderId="28" xfId="0" applyNumberFormat="1" applyFont="1" applyBorder="1"/>
    <xf numFmtId="3" fontId="18" fillId="0" borderId="1" xfId="0" applyNumberFormat="1" applyFont="1" applyBorder="1"/>
    <xf numFmtId="0" fontId="2" fillId="0" borderId="1" xfId="0" applyFont="1" applyBorder="1" applyAlignment="1">
      <alignment horizontal="left" vertical="center"/>
    </xf>
    <xf numFmtId="3" fontId="2" fillId="9" borderId="3" xfId="0" applyNumberFormat="1" applyFont="1" applyFill="1" applyBorder="1" applyAlignment="1">
      <alignment horizontal="center" wrapText="1"/>
    </xf>
    <xf numFmtId="3" fontId="2" fillId="9" borderId="26" xfId="0" applyNumberFormat="1" applyFont="1" applyFill="1" applyBorder="1"/>
    <xf numFmtId="3" fontId="18" fillId="9" borderId="76" xfId="0" applyNumberFormat="1" applyFont="1" applyFill="1" applyBorder="1"/>
    <xf numFmtId="3" fontId="18" fillId="9" borderId="8" xfId="0" applyNumberFormat="1" applyFont="1" applyFill="1" applyBorder="1"/>
    <xf numFmtId="3" fontId="65" fillId="0" borderId="1" xfId="0" applyNumberFormat="1" applyFont="1" applyBorder="1"/>
    <xf numFmtId="3" fontId="65" fillId="0" borderId="5" xfId="0" applyNumberFormat="1" applyFont="1" applyBorder="1"/>
    <xf numFmtId="0" fontId="66" fillId="0" borderId="4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vertical="center"/>
    </xf>
    <xf numFmtId="3" fontId="66" fillId="0" borderId="1" xfId="0" applyNumberFormat="1" applyFont="1" applyBorder="1" applyAlignment="1">
      <alignment vertical="center"/>
    </xf>
    <xf numFmtId="3" fontId="66" fillId="0" borderId="74" xfId="0" applyNumberFormat="1" applyFont="1" applyBorder="1" applyAlignment="1">
      <alignment vertical="center"/>
    </xf>
    <xf numFmtId="0" fontId="66" fillId="0" borderId="1" xfId="0" applyFont="1" applyBorder="1" applyAlignment="1">
      <alignment vertical="center" wrapText="1"/>
    </xf>
    <xf numFmtId="3" fontId="66" fillId="0" borderId="1" xfId="0" applyNumberFormat="1" applyFont="1" applyBorder="1"/>
    <xf numFmtId="3" fontId="66" fillId="0" borderId="5" xfId="0" applyNumberFormat="1" applyFont="1" applyBorder="1"/>
    <xf numFmtId="3" fontId="2" fillId="0" borderId="0" xfId="0" applyNumberFormat="1" applyFont="1" applyAlignment="1">
      <alignment vertical="center" wrapText="1"/>
    </xf>
    <xf numFmtId="3" fontId="61" fillId="0" borderId="5" xfId="0" applyNumberFormat="1" applyFont="1" applyBorder="1"/>
    <xf numFmtId="3" fontId="2" fillId="0" borderId="2" xfId="0" applyNumberFormat="1" applyFont="1" applyBorder="1" applyAlignment="1">
      <alignment vertical="center"/>
    </xf>
    <xf numFmtId="3" fontId="2" fillId="0" borderId="41" xfId="0" applyNumberFormat="1" applyFont="1" applyBorder="1" applyAlignment="1">
      <alignment vertical="center"/>
    </xf>
    <xf numFmtId="0" fontId="2" fillId="0" borderId="41" xfId="0" applyFont="1" applyBorder="1" applyAlignment="1">
      <alignment vertical="center" wrapText="1"/>
    </xf>
    <xf numFmtId="0" fontId="66" fillId="0" borderId="74" xfId="0" applyFont="1" applyBorder="1" applyAlignment="1">
      <alignment vertical="center" wrapText="1"/>
    </xf>
    <xf numFmtId="0" fontId="67" fillId="0" borderId="0" xfId="0" applyFont="1"/>
    <xf numFmtId="3" fontId="60" fillId="9" borderId="1" xfId="0" applyNumberFormat="1" applyFont="1" applyFill="1" applyBorder="1"/>
    <xf numFmtId="0" fontId="68" fillId="0" borderId="0" xfId="0" applyFont="1" applyAlignment="1">
      <alignment horizontal="right" vertical="top"/>
    </xf>
    <xf numFmtId="0" fontId="69" fillId="0" borderId="0" xfId="0" applyFont="1" applyAlignment="1">
      <alignment horizontal="right" vertical="top"/>
    </xf>
    <xf numFmtId="3" fontId="2" fillId="0" borderId="1" xfId="0" applyNumberFormat="1" applyFont="1" applyBorder="1" applyAlignment="1">
      <alignment horizontal="right" vertical="center"/>
    </xf>
    <xf numFmtId="3" fontId="2" fillId="0" borderId="5" xfId="0" applyNumberFormat="1" applyFont="1" applyBorder="1" applyAlignment="1">
      <alignment horizontal="right" vertical="center"/>
    </xf>
    <xf numFmtId="3" fontId="2" fillId="0" borderId="13" xfId="0" applyNumberFormat="1" applyFont="1" applyBorder="1" applyAlignment="1">
      <alignment horizontal="right" vertical="center"/>
    </xf>
    <xf numFmtId="3" fontId="2" fillId="0" borderId="7" xfId="0" applyNumberFormat="1" applyFont="1" applyBorder="1" applyAlignment="1">
      <alignment horizontal="right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14" xfId="0" applyNumberFormat="1" applyFont="1" applyBorder="1" applyAlignment="1">
      <alignment horizontal="right" vertical="center"/>
    </xf>
    <xf numFmtId="0" fontId="6" fillId="0" borderId="15" xfId="0" applyFont="1" applyBorder="1" applyAlignment="1">
      <alignment horizontal="left" vertical="center"/>
    </xf>
    <xf numFmtId="0" fontId="6" fillId="0" borderId="45" xfId="0" applyFont="1" applyBorder="1" applyAlignment="1">
      <alignment horizontal="left" vertical="center"/>
    </xf>
    <xf numFmtId="3" fontId="6" fillId="0" borderId="78" xfId="0" applyNumberFormat="1" applyFont="1" applyBorder="1"/>
    <xf numFmtId="0" fontId="6" fillId="0" borderId="4" xfId="0" applyFont="1" applyBorder="1" applyAlignment="1">
      <alignment horizontal="left" vertical="center"/>
    </xf>
    <xf numFmtId="3" fontId="27" fillId="0" borderId="59" xfId="0" applyNumberFormat="1" applyFont="1" applyBorder="1"/>
    <xf numFmtId="0" fontId="6" fillId="0" borderId="6" xfId="0" applyFont="1" applyBorder="1" applyAlignment="1">
      <alignment horizontal="left" vertical="center"/>
    </xf>
    <xf numFmtId="0" fontId="6" fillId="0" borderId="27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6" fillId="0" borderId="25" xfId="0" applyFont="1" applyBorder="1" applyAlignment="1">
      <alignment horizontal="left" vertical="center"/>
    </xf>
    <xf numFmtId="3" fontId="6" fillId="0" borderId="26" xfId="0" applyNumberFormat="1" applyFont="1" applyBorder="1"/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3" fontId="27" fillId="0" borderId="5" xfId="0" applyNumberFormat="1" applyFont="1" applyBorder="1"/>
    <xf numFmtId="3" fontId="27" fillId="0" borderId="0" xfId="0" applyNumberFormat="1" applyFont="1"/>
    <xf numFmtId="3" fontId="27" fillId="0" borderId="42" xfId="0" applyNumberFormat="1" applyFont="1" applyBorder="1"/>
    <xf numFmtId="3" fontId="27" fillId="0" borderId="36" xfId="0" applyNumberFormat="1" applyFont="1" applyBorder="1"/>
    <xf numFmtId="3" fontId="27" fillId="0" borderId="16" xfId="0" applyNumberFormat="1" applyFont="1" applyBorder="1"/>
    <xf numFmtId="3" fontId="27" fillId="0" borderId="8" xfId="0" applyNumberFormat="1" applyFont="1" applyBorder="1"/>
    <xf numFmtId="0" fontId="5" fillId="0" borderId="24" xfId="0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3" fontId="6" fillId="0" borderId="30" xfId="0" applyNumberFormat="1" applyFont="1" applyBorder="1"/>
    <xf numFmtId="0" fontId="27" fillId="0" borderId="2" xfId="0" applyFont="1" applyBorder="1" applyAlignment="1">
      <alignment horizontal="left" vertical="center"/>
    </xf>
    <xf numFmtId="3" fontId="27" fillId="0" borderId="2" xfId="0" applyNumberFormat="1" applyFont="1" applyBorder="1"/>
    <xf numFmtId="3" fontId="27" fillId="0" borderId="28" xfId="0" applyNumberFormat="1" applyFont="1" applyBorder="1"/>
    <xf numFmtId="0" fontId="27" fillId="0" borderId="59" xfId="0" applyFont="1" applyBorder="1" applyAlignment="1">
      <alignment horizontal="center"/>
    </xf>
    <xf numFmtId="0" fontId="35" fillId="0" borderId="0" xfId="0" applyFont="1" applyAlignment="1">
      <alignment horizontal="right"/>
    </xf>
    <xf numFmtId="0" fontId="2" fillId="0" borderId="1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3" fontId="2" fillId="0" borderId="73" xfId="0" applyNumberFormat="1" applyFont="1" applyBorder="1" applyAlignment="1">
      <alignment vertical="center"/>
    </xf>
    <xf numFmtId="3" fontId="2" fillId="8" borderId="1" xfId="0" applyNumberFormat="1" applyFont="1" applyFill="1" applyBorder="1" applyAlignment="1">
      <alignment vertical="center"/>
    </xf>
    <xf numFmtId="0" fontId="2" fillId="0" borderId="2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3" fontId="20" fillId="8" borderId="1" xfId="0" applyNumberFormat="1" applyFont="1" applyFill="1" applyBorder="1" applyAlignment="1">
      <alignment vertical="center"/>
    </xf>
    <xf numFmtId="3" fontId="2" fillId="9" borderId="30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3" fontId="2" fillId="8" borderId="0" xfId="0" applyNumberFormat="1" applyFont="1" applyFill="1" applyAlignment="1">
      <alignment vertical="center"/>
    </xf>
    <xf numFmtId="0" fontId="2" fillId="0" borderId="89" xfId="0" applyFont="1" applyBorder="1" applyAlignment="1">
      <alignment horizontal="center" vertical="center"/>
    </xf>
    <xf numFmtId="3" fontId="20" fillId="0" borderId="2" xfId="0" applyNumberFormat="1" applyFont="1" applyBorder="1" applyAlignment="1">
      <alignment vertical="center"/>
    </xf>
    <xf numFmtId="3" fontId="27" fillId="7" borderId="63" xfId="0" applyNumberFormat="1" applyFont="1" applyFill="1" applyBorder="1" applyAlignment="1">
      <alignment horizontal="right"/>
    </xf>
    <xf numFmtId="0" fontId="27" fillId="0" borderId="47" xfId="0" applyFont="1" applyBorder="1" applyAlignment="1">
      <alignment wrapText="1"/>
    </xf>
    <xf numFmtId="3" fontId="27" fillId="0" borderId="63" xfId="0" applyNumberFormat="1" applyFont="1" applyBorder="1" applyAlignment="1">
      <alignment horizontal="right" wrapText="1"/>
    </xf>
    <xf numFmtId="3" fontId="27" fillId="7" borderId="63" xfId="0" applyNumberFormat="1" applyFont="1" applyFill="1" applyBorder="1" applyAlignment="1">
      <alignment horizontal="right" wrapText="1"/>
    </xf>
    <xf numFmtId="3" fontId="27" fillId="0" borderId="47" xfId="0" applyNumberFormat="1" applyFont="1" applyBorder="1" applyAlignment="1">
      <alignment horizontal="right" wrapText="1"/>
    </xf>
    <xf numFmtId="14" fontId="27" fillId="0" borderId="1" xfId="0" applyNumberFormat="1" applyFont="1" applyBorder="1"/>
    <xf numFmtId="3" fontId="35" fillId="0" borderId="0" xfId="0" applyNumberFormat="1" applyFont="1" applyAlignment="1">
      <alignment horizontal="center" vertical="center"/>
    </xf>
    <xf numFmtId="0" fontId="36" fillId="0" borderId="0" xfId="0" applyFont="1" applyAlignment="1">
      <alignment horizontal="center"/>
    </xf>
    <xf numFmtId="168" fontId="56" fillId="0" borderId="0" xfId="0" applyNumberFormat="1" applyFont="1"/>
    <xf numFmtId="164" fontId="5" fillId="0" borderId="0" xfId="0" applyNumberFormat="1" applyFont="1"/>
    <xf numFmtId="4" fontId="36" fillId="0" borderId="0" xfId="0" applyNumberFormat="1" applyFont="1" applyAlignment="1">
      <alignment horizontal="right"/>
    </xf>
    <xf numFmtId="4" fontId="36" fillId="0" borderId="0" xfId="0" applyNumberFormat="1" applyFont="1"/>
    <xf numFmtId="3" fontId="46" fillId="0" borderId="25" xfId="0" applyNumberFormat="1" applyFont="1" applyBorder="1" applyAlignment="1">
      <alignment horizontal="center"/>
    </xf>
    <xf numFmtId="3" fontId="46" fillId="0" borderId="26" xfId="0" applyNumberFormat="1" applyFont="1" applyBorder="1" applyAlignment="1">
      <alignment horizontal="center"/>
    </xf>
    <xf numFmtId="3" fontId="46" fillId="0" borderId="38" xfId="0" applyNumberFormat="1" applyFont="1" applyBorder="1" applyAlignment="1">
      <alignment horizontal="center"/>
    </xf>
    <xf numFmtId="3" fontId="49" fillId="0" borderId="91" xfId="0" applyNumberFormat="1" applyFont="1" applyBorder="1" applyAlignment="1">
      <alignment horizontal="left"/>
    </xf>
    <xf numFmtId="3" fontId="46" fillId="0" borderId="25" xfId="0" applyNumberFormat="1" applyFont="1" applyBorder="1"/>
    <xf numFmtId="3" fontId="46" fillId="0" borderId="26" xfId="0" applyNumberFormat="1" applyFont="1" applyBorder="1"/>
    <xf numFmtId="3" fontId="46" fillId="0" borderId="42" xfId="0" applyNumberFormat="1" applyFont="1" applyBorder="1"/>
    <xf numFmtId="3" fontId="46" fillId="0" borderId="15" xfId="0" applyNumberFormat="1" applyFont="1" applyBorder="1"/>
    <xf numFmtId="3" fontId="46" fillId="0" borderId="85" xfId="0" applyNumberFormat="1" applyFont="1" applyBorder="1"/>
    <xf numFmtId="3" fontId="46" fillId="0" borderId="16" xfId="0" applyNumberFormat="1" applyFont="1" applyBorder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3" fontId="74" fillId="0" borderId="5" xfId="0" applyNumberFormat="1" applyFont="1" applyBorder="1"/>
    <xf numFmtId="170" fontId="0" fillId="0" borderId="0" xfId="0" applyNumberFormat="1"/>
    <xf numFmtId="0" fontId="75" fillId="0" borderId="0" xfId="0" applyFont="1"/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3" fontId="2" fillId="0" borderId="30" xfId="0" applyNumberFormat="1" applyFont="1" applyBorder="1" applyAlignment="1">
      <alignment vertical="center"/>
    </xf>
    <xf numFmtId="3" fontId="2" fillId="0" borderId="77" xfId="0" applyNumberFormat="1" applyFont="1" applyBorder="1" applyAlignment="1">
      <alignment vertical="center"/>
    </xf>
    <xf numFmtId="3" fontId="2" fillId="0" borderId="77" xfId="0" applyNumberFormat="1" applyFont="1" applyBorder="1" applyAlignment="1">
      <alignment vertical="center" wrapText="1"/>
    </xf>
    <xf numFmtId="3" fontId="2" fillId="0" borderId="30" xfId="0" applyNumberFormat="1" applyFont="1" applyBorder="1"/>
    <xf numFmtId="3" fontId="2" fillId="0" borderId="76" xfId="0" applyNumberFormat="1" applyFont="1" applyBorder="1"/>
    <xf numFmtId="3" fontId="2" fillId="9" borderId="5" xfId="0" applyNumberFormat="1" applyFont="1" applyFill="1" applyBorder="1"/>
    <xf numFmtId="3" fontId="18" fillId="9" borderId="42" xfId="0" applyNumberFormat="1" applyFont="1" applyFill="1" applyBorder="1"/>
    <xf numFmtId="0" fontId="2" fillId="0" borderId="45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78" xfId="0" applyFont="1" applyBorder="1" applyAlignment="1">
      <alignment vertical="center"/>
    </xf>
    <xf numFmtId="3" fontId="2" fillId="0" borderId="78" xfId="0" applyNumberFormat="1" applyFont="1" applyBorder="1" applyAlignment="1">
      <alignment vertical="center"/>
    </xf>
    <xf numFmtId="3" fontId="2" fillId="0" borderId="91" xfId="0" applyNumberFormat="1" applyFont="1" applyBorder="1" applyAlignment="1">
      <alignment vertical="center"/>
    </xf>
    <xf numFmtId="4" fontId="2" fillId="0" borderId="30" xfId="0" applyNumberFormat="1" applyFont="1" applyBorder="1" applyAlignment="1">
      <alignment vertical="center" wrapText="1"/>
    </xf>
    <xf numFmtId="3" fontId="2" fillId="0" borderId="3" xfId="0" applyNumberFormat="1" applyFont="1" applyBorder="1" applyAlignment="1">
      <alignment vertical="center" wrapText="1"/>
    </xf>
    <xf numFmtId="3" fontId="18" fillId="9" borderId="5" xfId="0" applyNumberFormat="1" applyFont="1" applyFill="1" applyBorder="1"/>
    <xf numFmtId="3" fontId="2" fillId="0" borderId="2" xfId="0" applyNumberFormat="1" applyFont="1" applyBorder="1" applyAlignment="1">
      <alignment vertical="center" wrapText="1"/>
    </xf>
    <xf numFmtId="3" fontId="2" fillId="9" borderId="73" xfId="0" applyNumberFormat="1" applyFont="1" applyFill="1" applyBorder="1" applyAlignment="1">
      <alignment horizontal="center" vertical="center"/>
    </xf>
    <xf numFmtId="3" fontId="2" fillId="0" borderId="74" xfId="0" applyNumberFormat="1" applyFont="1" applyBorder="1"/>
    <xf numFmtId="3" fontId="2" fillId="0" borderId="73" xfId="0" applyNumberFormat="1" applyFont="1" applyBorder="1"/>
    <xf numFmtId="3" fontId="2" fillId="0" borderId="77" xfId="0" applyNumberFormat="1" applyFont="1" applyBorder="1"/>
    <xf numFmtId="3" fontId="2" fillId="0" borderId="41" xfId="0" applyNumberFormat="1" applyFont="1" applyBorder="1"/>
    <xf numFmtId="3" fontId="66" fillId="0" borderId="74" xfId="0" applyNumberFormat="1" applyFont="1" applyBorder="1"/>
    <xf numFmtId="3" fontId="18" fillId="9" borderId="77" xfId="0" applyNumberFormat="1" applyFont="1" applyFill="1" applyBorder="1"/>
    <xf numFmtId="3" fontId="2" fillId="9" borderId="95" xfId="0" applyNumberFormat="1" applyFont="1" applyFill="1" applyBorder="1"/>
    <xf numFmtId="3" fontId="2" fillId="0" borderId="95" xfId="0" applyNumberFormat="1" applyFont="1" applyBorder="1"/>
    <xf numFmtId="3" fontId="18" fillId="9" borderId="38" xfId="0" applyNumberFormat="1" applyFont="1" applyFill="1" applyBorder="1"/>
    <xf numFmtId="4" fontId="0" fillId="0" borderId="13" xfId="0" applyNumberFormat="1" applyBorder="1"/>
    <xf numFmtId="4" fontId="0" fillId="9" borderId="12" xfId="0" applyNumberFormat="1" applyFill="1" applyBorder="1" applyAlignment="1">
      <alignment horizontal="center" vertical="center"/>
    </xf>
    <xf numFmtId="4" fontId="5" fillId="9" borderId="14" xfId="0" applyNumberFormat="1" applyFont="1" applyFill="1" applyBorder="1"/>
    <xf numFmtId="0" fontId="2" fillId="0" borderId="17" xfId="0" applyFont="1" applyBorder="1" applyAlignment="1">
      <alignment horizontal="center" vertical="center"/>
    </xf>
    <xf numFmtId="3" fontId="2" fillId="0" borderId="89" xfId="0" applyNumberFormat="1" applyFont="1" applyBorder="1" applyAlignment="1">
      <alignment vertical="center"/>
    </xf>
    <xf numFmtId="0" fontId="2" fillId="0" borderId="89" xfId="0" applyFont="1" applyBorder="1" applyAlignment="1">
      <alignment vertical="center" wrapText="1"/>
    </xf>
    <xf numFmtId="3" fontId="2" fillId="0" borderId="97" xfId="0" applyNumberFormat="1" applyFont="1" applyBorder="1"/>
    <xf numFmtId="0" fontId="61" fillId="0" borderId="1" xfId="0" applyFont="1" applyBorder="1" applyAlignment="1">
      <alignment vertical="center" wrapText="1"/>
    </xf>
    <xf numFmtId="0" fontId="64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3" fontId="61" fillId="0" borderId="1" xfId="0" applyNumberFormat="1" applyFont="1" applyBorder="1" applyAlignment="1">
      <alignment horizontal="right"/>
    </xf>
    <xf numFmtId="3" fontId="61" fillId="0" borderId="1" xfId="0" applyNumberFormat="1" applyFont="1" applyBorder="1" applyAlignment="1">
      <alignment vertical="center" wrapText="1"/>
    </xf>
    <xf numFmtId="3" fontId="74" fillId="0" borderId="1" xfId="0" applyNumberFormat="1" applyFont="1" applyBorder="1"/>
    <xf numFmtId="3" fontId="20" fillId="0" borderId="3" xfId="0" applyNumberFormat="1" applyFont="1" applyBorder="1" applyAlignment="1">
      <alignment vertical="center"/>
    </xf>
    <xf numFmtId="4" fontId="0" fillId="0" borderId="16" xfId="0" applyNumberFormat="1" applyBorder="1"/>
    <xf numFmtId="4" fontId="0" fillId="0" borderId="5" xfId="0" applyNumberFormat="1" applyBorder="1"/>
    <xf numFmtId="4" fontId="5" fillId="9" borderId="8" xfId="0" applyNumberFormat="1" applyFont="1" applyFill="1" applyBorder="1"/>
    <xf numFmtId="4" fontId="0" fillId="9" borderId="20" xfId="0" applyNumberFormat="1" applyFill="1" applyBorder="1" applyAlignment="1">
      <alignment horizontal="center" vertical="center"/>
    </xf>
    <xf numFmtId="4" fontId="0" fillId="0" borderId="21" xfId="0" applyNumberFormat="1" applyBorder="1"/>
    <xf numFmtId="4" fontId="5" fillId="9" borderId="22" xfId="0" applyNumberFormat="1" applyFont="1" applyFill="1" applyBorder="1"/>
    <xf numFmtId="4" fontId="0" fillId="0" borderId="1" xfId="0" applyNumberFormat="1" applyBorder="1"/>
    <xf numFmtId="4" fontId="0" fillId="0" borderId="74" xfId="0" applyNumberFormat="1" applyBorder="1"/>
    <xf numFmtId="3" fontId="2" fillId="0" borderId="93" xfId="0" applyNumberFormat="1" applyFont="1" applyBorder="1"/>
    <xf numFmtId="4" fontId="0" fillId="0" borderId="41" xfId="0" applyNumberFormat="1" applyBorder="1"/>
    <xf numFmtId="4" fontId="1" fillId="0" borderId="74" xfId="0" applyNumberFormat="1" applyFont="1" applyBorder="1"/>
    <xf numFmtId="4" fontId="0" fillId="9" borderId="21" xfId="0" applyNumberFormat="1" applyFill="1" applyBorder="1"/>
    <xf numFmtId="3" fontId="0" fillId="9" borderId="1" xfId="0" applyNumberFormat="1" applyFill="1" applyBorder="1"/>
    <xf numFmtId="0" fontId="0" fillId="9" borderId="1" xfId="0" applyFill="1" applyBorder="1"/>
    <xf numFmtId="4" fontId="0" fillId="9" borderId="1" xfId="0" applyNumberFormat="1" applyFill="1" applyBorder="1" applyAlignment="1">
      <alignment horizontal="center" vertical="center"/>
    </xf>
    <xf numFmtId="4" fontId="0" fillId="9" borderId="1" xfId="0" applyNumberFormat="1" applyFill="1" applyBorder="1"/>
    <xf numFmtId="4" fontId="1" fillId="0" borderId="1" xfId="0" applyNumberFormat="1" applyFont="1" applyBorder="1"/>
    <xf numFmtId="0" fontId="2" fillId="9" borderId="30" xfId="0" applyFont="1" applyFill="1" applyBorder="1" applyAlignment="1">
      <alignment vertical="center" wrapText="1"/>
    </xf>
    <xf numFmtId="3" fontId="2" fillId="9" borderId="30" xfId="0" applyNumberFormat="1" applyFont="1" applyFill="1" applyBorder="1"/>
    <xf numFmtId="4" fontId="5" fillId="9" borderId="77" xfId="0" applyNumberFormat="1" applyFont="1" applyFill="1" applyBorder="1"/>
    <xf numFmtId="4" fontId="0" fillId="9" borderId="30" xfId="0" applyNumberFormat="1" applyFill="1" applyBorder="1"/>
    <xf numFmtId="0" fontId="2" fillId="9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vertical="center"/>
    </xf>
    <xf numFmtId="3" fontId="2" fillId="9" borderId="73" xfId="0" applyNumberFormat="1" applyFont="1" applyFill="1" applyBorder="1"/>
    <xf numFmtId="4" fontId="5" fillId="9" borderId="1" xfId="0" applyNumberFormat="1" applyFont="1" applyFill="1" applyBorder="1"/>
    <xf numFmtId="3" fontId="20" fillId="0" borderId="1" xfId="0" applyNumberFormat="1" applyFont="1" applyBorder="1" applyAlignment="1">
      <alignment vertical="center"/>
    </xf>
    <xf numFmtId="4" fontId="1" fillId="9" borderId="1" xfId="0" applyNumberFormat="1" applyFont="1" applyFill="1" applyBorder="1" applyAlignment="1">
      <alignment horizontal="center" vertical="center" wrapText="1"/>
    </xf>
    <xf numFmtId="4" fontId="0" fillId="9" borderId="74" xfId="0" applyNumberFormat="1" applyFill="1" applyBorder="1"/>
    <xf numFmtId="4" fontId="0" fillId="9" borderId="15" xfId="0" applyNumberFormat="1" applyFill="1" applyBorder="1" applyAlignment="1">
      <alignment horizontal="center" vertical="center"/>
    </xf>
    <xf numFmtId="0" fontId="0" fillId="9" borderId="16" xfId="0" applyFill="1" applyBorder="1" applyAlignment="1">
      <alignment vertical="center" wrapText="1"/>
    </xf>
    <xf numFmtId="4" fontId="0" fillId="0" borderId="4" xfId="0" applyNumberFormat="1" applyBorder="1"/>
    <xf numFmtId="4" fontId="0" fillId="9" borderId="4" xfId="0" applyNumberFormat="1" applyFill="1" applyBorder="1"/>
    <xf numFmtId="4" fontId="0" fillId="9" borderId="5" xfId="0" applyNumberFormat="1" applyFill="1" applyBorder="1"/>
    <xf numFmtId="4" fontId="0" fillId="9" borderId="6" xfId="0" applyNumberFormat="1" applyFill="1" applyBorder="1"/>
    <xf numFmtId="4" fontId="0" fillId="9" borderId="8" xfId="0" applyNumberFormat="1" applyFill="1" applyBorder="1"/>
    <xf numFmtId="4" fontId="0" fillId="0" borderId="15" xfId="0" applyNumberFormat="1" applyBorder="1"/>
    <xf numFmtId="4" fontId="1" fillId="0" borderId="4" xfId="0" applyNumberFormat="1" applyFont="1" applyBorder="1"/>
    <xf numFmtId="4" fontId="0" fillId="9" borderId="29" xfId="0" applyNumberFormat="1" applyFill="1" applyBorder="1"/>
    <xf numFmtId="4" fontId="0" fillId="0" borderId="3" xfId="0" applyNumberFormat="1" applyBorder="1"/>
    <xf numFmtId="4" fontId="1" fillId="0" borderId="5" xfId="0" applyNumberFormat="1" applyFont="1" applyBorder="1"/>
    <xf numFmtId="4" fontId="0" fillId="9" borderId="76" xfId="0" applyNumberFormat="1" applyFill="1" applyBorder="1"/>
    <xf numFmtId="0" fontId="0" fillId="9" borderId="4" xfId="0" applyFill="1" applyBorder="1"/>
    <xf numFmtId="0" fontId="0" fillId="9" borderId="7" xfId="0" applyFill="1" applyBorder="1"/>
    <xf numFmtId="3" fontId="0" fillId="9" borderId="7" xfId="0" applyNumberFormat="1" applyFill="1" applyBorder="1"/>
    <xf numFmtId="4" fontId="0" fillId="9" borderId="7" xfId="0" applyNumberFormat="1" applyFill="1" applyBorder="1"/>
    <xf numFmtId="4" fontId="0" fillId="0" borderId="29" xfId="0" applyNumberFormat="1" applyBorder="1"/>
    <xf numFmtId="4" fontId="0" fillId="0" borderId="76" xfId="0" applyNumberFormat="1" applyBorder="1"/>
    <xf numFmtId="4" fontId="0" fillId="0" borderId="27" xfId="0" applyNumberFormat="1" applyBorder="1"/>
    <xf numFmtId="4" fontId="0" fillId="9" borderId="16" xfId="0" applyNumberFormat="1" applyFill="1" applyBorder="1" applyAlignment="1">
      <alignment horizontal="center" vertical="center"/>
    </xf>
    <xf numFmtId="4" fontId="1" fillId="9" borderId="12" xfId="0" applyNumberFormat="1" applyFont="1" applyFill="1" applyBorder="1" applyAlignment="1">
      <alignment horizontal="center" vertical="center" wrapText="1"/>
    </xf>
    <xf numFmtId="4" fontId="0" fillId="9" borderId="13" xfId="0" applyNumberFormat="1" applyFill="1" applyBorder="1"/>
    <xf numFmtId="4" fontId="0" fillId="9" borderId="14" xfId="0" applyNumberFormat="1" applyFill="1" applyBorder="1"/>
    <xf numFmtId="4" fontId="0" fillId="0" borderId="91" xfId="0" applyNumberFormat="1" applyBorder="1"/>
    <xf numFmtId="4" fontId="0" fillId="0" borderId="12" xfId="0" applyNumberFormat="1" applyBorder="1"/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8" fillId="0" borderId="20" xfId="0" applyFont="1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85" xfId="0" applyBorder="1" applyAlignment="1">
      <alignment horizontal="center"/>
    </xf>
    <xf numFmtId="0" fontId="40" fillId="0" borderId="20" xfId="0" applyFont="1" applyBorder="1" applyAlignment="1">
      <alignment horizontal="center" vertical="center" wrapText="1"/>
    </xf>
    <xf numFmtId="0" fontId="40" fillId="0" borderId="9" xfId="0" applyFont="1" applyBorder="1" applyAlignment="1">
      <alignment horizontal="center" vertical="center" wrapText="1"/>
    </xf>
    <xf numFmtId="0" fontId="40" fillId="0" borderId="31" xfId="0" applyFont="1" applyBorder="1" applyAlignment="1">
      <alignment horizontal="center" vertical="center" wrapText="1"/>
    </xf>
    <xf numFmtId="0" fontId="40" fillId="0" borderId="36" xfId="0" applyFont="1" applyBorder="1" applyAlignment="1">
      <alignment horizontal="center" vertical="center" wrapText="1"/>
    </xf>
    <xf numFmtId="0" fontId="18" fillId="9" borderId="15" xfId="0" applyFont="1" applyFill="1" applyBorder="1" applyAlignment="1">
      <alignment horizontal="left" vertical="center"/>
    </xf>
    <xf numFmtId="0" fontId="18" fillId="9" borderId="3" xfId="0" applyFont="1" applyFill="1" applyBorder="1" applyAlignment="1">
      <alignment horizontal="left" vertical="center"/>
    </xf>
    <xf numFmtId="0" fontId="18" fillId="9" borderId="6" xfId="0" applyFont="1" applyFill="1" applyBorder="1" applyAlignment="1">
      <alignment horizontal="left" vertical="center"/>
    </xf>
    <xf numFmtId="0" fontId="18" fillId="9" borderId="7" xfId="0" applyFont="1" applyFill="1" applyBorder="1" applyAlignment="1">
      <alignment horizontal="left" vertical="center"/>
    </xf>
    <xf numFmtId="0" fontId="18" fillId="9" borderId="4" xfId="0" applyFont="1" applyFill="1" applyBorder="1" applyAlignment="1">
      <alignment horizontal="left" vertical="center"/>
    </xf>
    <xf numFmtId="0" fontId="18" fillId="9" borderId="1" xfId="0" applyFont="1" applyFill="1" applyBorder="1" applyAlignment="1">
      <alignment horizontal="left" vertical="center"/>
    </xf>
    <xf numFmtId="0" fontId="18" fillId="9" borderId="90" xfId="0" applyFont="1" applyFill="1" applyBorder="1" applyAlignment="1">
      <alignment horizontal="left" vertical="center"/>
    </xf>
    <xf numFmtId="0" fontId="18" fillId="9" borderId="100" xfId="0" applyFont="1" applyFill="1" applyBorder="1" applyAlignment="1">
      <alignment horizontal="left" vertical="center"/>
    </xf>
    <xf numFmtId="0" fontId="18" fillId="9" borderId="98" xfId="0" applyFont="1" applyFill="1" applyBorder="1" applyAlignment="1">
      <alignment horizontal="left" vertical="center"/>
    </xf>
    <xf numFmtId="0" fontId="18" fillId="9" borderId="22" xfId="0" applyFont="1" applyFill="1" applyBorder="1" applyAlignment="1">
      <alignment horizontal="left" vertical="center"/>
    </xf>
    <xf numFmtId="0" fontId="18" fillId="9" borderId="86" xfId="0" applyFont="1" applyFill="1" applyBorder="1" applyAlignment="1">
      <alignment horizontal="left" vertical="center"/>
    </xf>
    <xf numFmtId="0" fontId="18" fillId="9" borderId="19" xfId="0" applyFont="1" applyFill="1" applyBorder="1" applyAlignment="1">
      <alignment horizontal="left" vertical="center"/>
    </xf>
    <xf numFmtId="0" fontId="18" fillId="9" borderId="31" xfId="0" applyFont="1" applyFill="1" applyBorder="1" applyAlignment="1">
      <alignment horizontal="left" vertical="center"/>
    </xf>
    <xf numFmtId="0" fontId="18" fillId="9" borderId="32" xfId="0" applyFont="1" applyFill="1" applyBorder="1" applyAlignment="1">
      <alignment horizontal="left" vertical="center"/>
    </xf>
    <xf numFmtId="0" fontId="18" fillId="9" borderId="37" xfId="0" applyFont="1" applyFill="1" applyBorder="1" applyAlignment="1">
      <alignment horizontal="left" vertical="center"/>
    </xf>
    <xf numFmtId="0" fontId="5" fillId="9" borderId="31" xfId="0" applyFont="1" applyFill="1" applyBorder="1" applyAlignment="1">
      <alignment horizontal="left" vertical="center"/>
    </xf>
    <xf numFmtId="0" fontId="5" fillId="9" borderId="32" xfId="0" applyFont="1" applyFill="1" applyBorder="1" applyAlignment="1">
      <alignment horizontal="left" vertical="center"/>
    </xf>
    <xf numFmtId="0" fontId="5" fillId="9" borderId="37" xfId="0" applyFont="1" applyFill="1" applyBorder="1" applyAlignment="1">
      <alignment horizontal="left" vertical="center"/>
    </xf>
    <xf numFmtId="0" fontId="5" fillId="9" borderId="74" xfId="0" applyFont="1" applyFill="1" applyBorder="1" applyAlignment="1">
      <alignment horizontal="left"/>
    </xf>
    <xf numFmtId="0" fontId="5" fillId="9" borderId="82" xfId="0" applyFont="1" applyFill="1" applyBorder="1" applyAlignment="1">
      <alignment horizontal="left"/>
    </xf>
    <xf numFmtId="0" fontId="5" fillId="9" borderId="33" xfId="0" applyFont="1" applyFill="1" applyBorder="1" applyAlignment="1">
      <alignment horizontal="left"/>
    </xf>
    <xf numFmtId="0" fontId="18" fillId="9" borderId="29" xfId="0" applyFont="1" applyFill="1" applyBorder="1" applyAlignment="1">
      <alignment horizontal="left" vertical="center"/>
    </xf>
    <xf numFmtId="0" fontId="18" fillId="9" borderId="30" xfId="0" applyFont="1" applyFill="1" applyBorder="1" applyAlignment="1">
      <alignment horizontal="left" vertical="center"/>
    </xf>
    <xf numFmtId="0" fontId="5" fillId="9" borderId="22" xfId="0" applyFont="1" applyFill="1" applyBorder="1" applyAlignment="1">
      <alignment horizontal="left"/>
    </xf>
    <xf numFmtId="0" fontId="5" fillId="9" borderId="86" xfId="0" applyFont="1" applyFill="1" applyBorder="1" applyAlignment="1">
      <alignment horizontal="left"/>
    </xf>
    <xf numFmtId="0" fontId="5" fillId="9" borderId="19" xfId="0" applyFont="1" applyFill="1" applyBorder="1" applyAlignment="1">
      <alignment horizontal="left"/>
    </xf>
    <xf numFmtId="0" fontId="5" fillId="0" borderId="3" xfId="0" applyFont="1" applyBorder="1" applyAlignment="1">
      <alignment horizontal="center"/>
    </xf>
    <xf numFmtId="0" fontId="5" fillId="0" borderId="54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0" fillId="0" borderId="0" xfId="0"/>
    <xf numFmtId="0" fontId="43" fillId="0" borderId="99" xfId="0" applyFont="1" applyBorder="1" applyAlignment="1">
      <alignment horizontal="left" wrapText="1"/>
    </xf>
    <xf numFmtId="0" fontId="34" fillId="0" borderId="0" xfId="0" applyFont="1" applyAlignment="1">
      <alignment wrapText="1"/>
    </xf>
    <xf numFmtId="0" fontId="34" fillId="0" borderId="0" xfId="0" applyFont="1"/>
    <xf numFmtId="0" fontId="0" fillId="0" borderId="20" xfId="0" applyBorder="1"/>
    <xf numFmtId="0" fontId="0" fillId="0" borderId="85" xfId="0" applyBorder="1"/>
    <xf numFmtId="0" fontId="0" fillId="0" borderId="31" xfId="0" applyBorder="1"/>
    <xf numFmtId="0" fontId="0" fillId="0" borderId="37" xfId="0" applyBorder="1"/>
    <xf numFmtId="0" fontId="36" fillId="0" borderId="0" xfId="0" applyFont="1"/>
    <xf numFmtId="0" fontId="54" fillId="0" borderId="0" xfId="0" applyFont="1" applyAlignment="1">
      <alignment horizontal="center"/>
    </xf>
    <xf numFmtId="0" fontId="26" fillId="0" borderId="31" xfId="0" applyFont="1" applyBorder="1" applyAlignment="1">
      <alignment horizontal="left" vertical="center"/>
    </xf>
    <xf numFmtId="0" fontId="26" fillId="0" borderId="32" xfId="0" applyFont="1" applyBorder="1" applyAlignment="1">
      <alignment horizontal="left" vertical="center"/>
    </xf>
    <xf numFmtId="0" fontId="35" fillId="0" borderId="32" xfId="0" applyFont="1" applyBorder="1" applyAlignment="1">
      <alignment horizontal="left"/>
    </xf>
    <xf numFmtId="0" fontId="35" fillId="0" borderId="37" xfId="0" applyFont="1" applyBorder="1" applyAlignment="1">
      <alignment horizontal="left"/>
    </xf>
    <xf numFmtId="3" fontId="0" fillId="0" borderId="0" xfId="0" applyNumberFormat="1"/>
    <xf numFmtId="0" fontId="35" fillId="0" borderId="36" xfId="0" applyFont="1" applyBorder="1" applyAlignment="1">
      <alignment horizontal="left"/>
    </xf>
    <xf numFmtId="0" fontId="5" fillId="0" borderId="31" xfId="0" applyFont="1" applyBorder="1" applyAlignment="1">
      <alignment horizontal="right"/>
    </xf>
    <xf numFmtId="0" fontId="0" fillId="0" borderId="32" xfId="0" applyBorder="1" applyAlignment="1">
      <alignment horizontal="right"/>
    </xf>
    <xf numFmtId="0" fontId="40" fillId="0" borderId="0" xfId="0" applyFont="1" applyAlignment="1">
      <alignment horizontal="left" vertical="center"/>
    </xf>
    <xf numFmtId="0" fontId="41" fillId="0" borderId="0" xfId="0" applyFont="1"/>
    <xf numFmtId="3" fontId="49" fillId="0" borderId="0" xfId="0" applyNumberFormat="1" applyFont="1" applyAlignment="1">
      <alignment horizontal="center"/>
    </xf>
    <xf numFmtId="3" fontId="27" fillId="0" borderId="0" xfId="0" applyNumberFormat="1" applyFont="1"/>
    <xf numFmtId="0" fontId="47" fillId="0" borderId="0" xfId="0" applyFont="1" applyAlignment="1">
      <alignment horizontal="left" vertical="center"/>
    </xf>
    <xf numFmtId="0" fontId="43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3" fontId="43" fillId="0" borderId="4" xfId="0" applyNumberFormat="1" applyFont="1" applyBorder="1" applyAlignment="1">
      <alignment horizontal="center"/>
    </xf>
    <xf numFmtId="3" fontId="0" fillId="0" borderId="5" xfId="0" applyNumberFormat="1" applyBorder="1"/>
    <xf numFmtId="3" fontId="43" fillId="0" borderId="29" xfId="0" applyNumberFormat="1" applyFont="1" applyBorder="1" applyAlignment="1">
      <alignment horizontal="center"/>
    </xf>
    <xf numFmtId="3" fontId="0" fillId="0" borderId="76" xfId="0" applyNumberFormat="1" applyBorder="1"/>
    <xf numFmtId="3" fontId="43" fillId="0" borderId="25" xfId="0" applyNumberFormat="1" applyFont="1" applyBorder="1" applyAlignment="1">
      <alignment horizontal="center"/>
    </xf>
    <xf numFmtId="3" fontId="0" fillId="0" borderId="42" xfId="0" applyNumberFormat="1" applyBorder="1"/>
    <xf numFmtId="3" fontId="43" fillId="0" borderId="6" xfId="0" applyNumberFormat="1" applyFont="1" applyBorder="1" applyAlignment="1">
      <alignment horizontal="center"/>
    </xf>
    <xf numFmtId="3" fontId="0" fillId="0" borderId="8" xfId="0" applyNumberFormat="1" applyBorder="1"/>
    <xf numFmtId="3" fontId="49" fillId="0" borderId="55" xfId="0" applyNumberFormat="1" applyFont="1" applyBorder="1" applyAlignment="1">
      <alignment horizontal="center" wrapText="1"/>
    </xf>
    <xf numFmtId="3" fontId="27" fillId="0" borderId="40" xfId="0" applyNumberFormat="1" applyFont="1" applyBorder="1" applyAlignment="1">
      <alignment wrapText="1"/>
    </xf>
    <xf numFmtId="0" fontId="27" fillId="0" borderId="44" xfId="0" applyFont="1" applyBorder="1" applyAlignment="1">
      <alignment wrapText="1"/>
    </xf>
    <xf numFmtId="0" fontId="27" fillId="0" borderId="63" xfId="0" applyFont="1" applyBorder="1" applyAlignment="1">
      <alignment wrapText="1"/>
    </xf>
    <xf numFmtId="3" fontId="49" fillId="0" borderId="4" xfId="0" applyNumberFormat="1" applyFont="1" applyBorder="1" applyAlignment="1">
      <alignment horizontal="center"/>
    </xf>
    <xf numFmtId="3" fontId="27" fillId="0" borderId="5" xfId="0" applyNumberFormat="1" applyFont="1" applyBorder="1"/>
    <xf numFmtId="3" fontId="49" fillId="0" borderId="54" xfId="0" applyNumberFormat="1" applyFont="1" applyBorder="1" applyAlignment="1">
      <alignment horizontal="center" wrapText="1"/>
    </xf>
    <xf numFmtId="0" fontId="27" fillId="0" borderId="43" xfId="0" applyFont="1" applyBorder="1" applyAlignment="1">
      <alignment wrapText="1"/>
    </xf>
    <xf numFmtId="0" fontId="24" fillId="0" borderId="31" xfId="0" applyFont="1" applyBorder="1" applyAlignment="1">
      <alignment horizontal="center"/>
    </xf>
    <xf numFmtId="0" fontId="24" fillId="0" borderId="36" xfId="0" applyFont="1" applyBorder="1" applyAlignment="1">
      <alignment horizontal="center"/>
    </xf>
    <xf numFmtId="0" fontId="24" fillId="0" borderId="3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t>Stočné v obci Květnice</a:t>
            </a:r>
          </a:p>
        </c:rich>
      </c:tx>
      <c:layout>
        <c:manualLayout>
          <c:xMode val="edge"/>
          <c:yMode val="edge"/>
          <c:x val="0.43501961865661731"/>
          <c:y val="3.610108303249097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3.3463047734925151E-2"/>
          <c:y val="0.23104733868622168"/>
          <c:w val="0.86459176822097261"/>
          <c:h val="0.50902616804308154"/>
        </c:manualLayout>
      </c:layout>
      <c:barChart>
        <c:barDir val="col"/>
        <c:grouping val="clustered"/>
        <c:varyColors val="0"/>
        <c:ser>
          <c:idx val="0"/>
          <c:order val="0"/>
          <c:tx>
            <c:v>Cena stočného celkem v Kč</c:v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Lit>
              <c:formatCode>General</c:formatCode>
              <c:ptCount val="9"/>
              <c:pt idx="0">
                <c:v>2005</c:v>
              </c:pt>
              <c:pt idx="1">
                <c:v>2006</c:v>
              </c:pt>
              <c:pt idx="2">
                <c:v>2007</c:v>
              </c:pt>
              <c:pt idx="3">
                <c:v>2008</c:v>
              </c:pt>
              <c:pt idx="4">
                <c:v>2009</c:v>
              </c:pt>
              <c:pt idx="5">
                <c:v>2010</c:v>
              </c:pt>
              <c:pt idx="6">
                <c:v>2011</c:v>
              </c:pt>
              <c:pt idx="7">
                <c:v>2012</c:v>
              </c:pt>
              <c:pt idx="8">
                <c:v>2013</c:v>
              </c:pt>
            </c:numLit>
          </c:cat>
          <c:val>
            <c:numLit>
              <c:formatCode>General</c:formatCode>
              <c:ptCount val="9"/>
              <c:pt idx="0">
                <c:v>31</c:v>
              </c:pt>
              <c:pt idx="1">
                <c:v>31</c:v>
              </c:pt>
              <c:pt idx="2">
                <c:v>31</c:v>
              </c:pt>
              <c:pt idx="3">
                <c:v>31</c:v>
              </c:pt>
              <c:pt idx="4">
                <c:v>30.99959999999999</c:v>
              </c:pt>
              <c:pt idx="5">
                <c:v>30.99799999999999</c:v>
              </c:pt>
              <c:pt idx="6">
                <c:v>30.99799999999999</c:v>
              </c:pt>
              <c:pt idx="7">
                <c:v>30.99659999999999</c:v>
              </c:pt>
              <c:pt idx="8">
                <c:v>36.002753435294096</c:v>
              </c:pt>
            </c:numLit>
          </c:val>
          <c:extLst>
            <c:ext xmlns:c16="http://schemas.microsoft.com/office/drawing/2014/chart" uri="{C3380CC4-5D6E-409C-BE32-E72D297353CC}">
              <c16:uniqueId val="{00000000-DD06-46AD-AD6A-3B8ECB6CEC1B}"/>
            </c:ext>
          </c:extLst>
        </c:ser>
        <c:ser>
          <c:idx val="1"/>
          <c:order val="1"/>
          <c:tx>
            <c:v>Cena stočného bez DPH</c:v>
          </c:tx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numLit>
              <c:formatCode>General</c:formatCode>
              <c:ptCount val="9"/>
              <c:pt idx="0">
                <c:v>2005</c:v>
              </c:pt>
              <c:pt idx="1">
                <c:v>2006</c:v>
              </c:pt>
              <c:pt idx="2">
                <c:v>2007</c:v>
              </c:pt>
              <c:pt idx="3">
                <c:v>2008</c:v>
              </c:pt>
              <c:pt idx="4">
                <c:v>2009</c:v>
              </c:pt>
              <c:pt idx="5">
                <c:v>2010</c:v>
              </c:pt>
              <c:pt idx="6">
                <c:v>2011</c:v>
              </c:pt>
              <c:pt idx="7">
                <c:v>2012</c:v>
              </c:pt>
              <c:pt idx="8">
                <c:v>2013</c:v>
              </c:pt>
            </c:numLit>
          </c:cat>
          <c:val>
            <c:numLit>
              <c:formatCode>General</c:formatCode>
              <c:ptCount val="9"/>
              <c:pt idx="0">
                <c:v>31</c:v>
              </c:pt>
              <c:pt idx="1">
                <c:v>31</c:v>
              </c:pt>
              <c:pt idx="2">
                <c:v>31</c:v>
              </c:pt>
              <c:pt idx="3">
                <c:v>31</c:v>
              </c:pt>
              <c:pt idx="4">
                <c:v>28.439999999999991</c:v>
              </c:pt>
              <c:pt idx="5">
                <c:v>28.18</c:v>
              </c:pt>
              <c:pt idx="6">
                <c:v>28.18</c:v>
              </c:pt>
              <c:pt idx="7">
                <c:v>27.19</c:v>
              </c:pt>
              <c:pt idx="8">
                <c:v>31.306742117647048</c:v>
              </c:pt>
            </c:numLit>
          </c:val>
          <c:extLst>
            <c:ext xmlns:c16="http://schemas.microsoft.com/office/drawing/2014/chart" uri="{C3380CC4-5D6E-409C-BE32-E72D297353CC}">
              <c16:uniqueId val="{00000001-DD06-46AD-AD6A-3B8ECB6CEC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521344"/>
        <c:axId val="150522880"/>
      </c:barChart>
      <c:catAx>
        <c:axId val="1505213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CZ"/>
          </a:p>
        </c:txPr>
        <c:crossAx val="15052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0522880"/>
        <c:scaling>
          <c:orientation val="minMax"/>
          <c:max val="36"/>
          <c:min val="25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CZ"/>
          </a:p>
        </c:txPr>
        <c:crossAx val="150521344"/>
        <c:crosses val="autoZero"/>
        <c:crossBetween val="between"/>
        <c:majorUnit val="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33484635753827352"/>
          <c:y val="0.88697948315276687"/>
          <c:w val="0.26021192844841723"/>
          <c:h val="8.599524074888327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CZ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CZ"/>
    </a:p>
  </c:txPr>
  <c:printSettings>
    <c:headerFooter alignWithMargins="0"/>
    <c:pageMargins b="0.98425196899999967" l="0.78740157499999996" r="0.78740157499999996" t="0.98425196899999967" header="0.49212598450000017" footer="0.49212598450000017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28</xdr:row>
      <xdr:rowOff>139700</xdr:rowOff>
    </xdr:from>
    <xdr:to>
      <xdr:col>13</xdr:col>
      <xdr:colOff>12700</xdr:colOff>
      <xdr:row>45</xdr:row>
      <xdr:rowOff>25400</xdr:rowOff>
    </xdr:to>
    <xdr:graphicFrame macro="">
      <xdr:nvGraphicFramePr>
        <xdr:cNvPr id="17813" name="graf 1">
          <a:extLst>
            <a:ext uri="{FF2B5EF4-FFF2-40B4-BE49-F238E27FC236}">
              <a16:creationId xmlns:a16="http://schemas.microsoft.com/office/drawing/2014/main" id="{00000000-0008-0000-0600-0000954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7.xml"/><Relationship Id="rId1" Type="http://schemas.openxmlformats.org/officeDocument/2006/relationships/vmlDrawing" Target="../drawings/vmlDrawing7.v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omments" Target="../comments8.xml"/><Relationship Id="rId1" Type="http://schemas.openxmlformats.org/officeDocument/2006/relationships/vmlDrawing" Target="../drawings/vmlDrawing8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omments" Target="../comments9.xml"/><Relationship Id="rId1" Type="http://schemas.openxmlformats.org/officeDocument/2006/relationships/vmlDrawing" Target="../drawings/vmlDrawing9.v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8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9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3.xml"/><Relationship Id="rId1" Type="http://schemas.openxmlformats.org/officeDocument/2006/relationships/vmlDrawing" Target="../drawings/vmlDrawing1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46"/>
  <sheetViews>
    <sheetView workbookViewId="0">
      <pane ySplit="4" topLeftCell="A5" activePane="bottomLeft" state="frozen"/>
      <selection pane="bottomLeft" activeCell="J47" sqref="J47"/>
    </sheetView>
  </sheetViews>
  <sheetFormatPr baseColWidth="10" defaultColWidth="8.83203125" defaultRowHeight="13"/>
  <cols>
    <col min="1" max="1" width="5.1640625" customWidth="1"/>
    <col min="2" max="2" width="45" customWidth="1"/>
    <col min="3" max="3" width="4" style="4" bestFit="1" customWidth="1"/>
    <col min="4" max="4" width="10.6640625" bestFit="1" customWidth="1"/>
    <col min="5" max="5" width="10.1640625" bestFit="1" customWidth="1"/>
    <col min="6" max="6" width="9.5" bestFit="1" customWidth="1"/>
  </cols>
  <sheetData>
    <row r="1" spans="1:8" ht="33">
      <c r="A1" s="104" t="s">
        <v>0</v>
      </c>
      <c r="D1" s="1083"/>
      <c r="E1" s="1084"/>
    </row>
    <row r="2" spans="1:8">
      <c r="A2" s="2"/>
      <c r="B2" s="2"/>
      <c r="C2" s="107"/>
      <c r="D2" s="101" t="s">
        <v>1</v>
      </c>
      <c r="E2" s="101" t="s">
        <v>2</v>
      </c>
      <c r="F2" s="101" t="s">
        <v>3</v>
      </c>
    </row>
    <row r="3" spans="1:8" s="105" customFormat="1" ht="18">
      <c r="A3" s="109" t="s">
        <v>4</v>
      </c>
      <c r="B3" s="109" t="s">
        <v>5</v>
      </c>
      <c r="C3" s="110"/>
      <c r="D3" s="111">
        <f>D4+D37+D43</f>
        <v>0</v>
      </c>
      <c r="E3" s="111">
        <f>E4+E37+E43</f>
        <v>0</v>
      </c>
      <c r="F3" s="111">
        <f>D3+E3</f>
        <v>0</v>
      </c>
    </row>
    <row r="4" spans="1:8" s="103" customFormat="1">
      <c r="A4" s="108" t="s">
        <v>6</v>
      </c>
      <c r="B4" s="1" t="s">
        <v>7</v>
      </c>
      <c r="C4" s="108"/>
      <c r="D4" s="111">
        <f>SUM(D5:D36)</f>
        <v>0</v>
      </c>
      <c r="E4" s="111">
        <f>SUM(E5:E36)</f>
        <v>0</v>
      </c>
      <c r="F4" s="111">
        <f>D4+E4</f>
        <v>0</v>
      </c>
      <c r="H4" s="106"/>
    </row>
    <row r="5" spans="1:8">
      <c r="A5" s="112" t="s">
        <v>8</v>
      </c>
      <c r="B5" s="2" t="s">
        <v>9</v>
      </c>
      <c r="C5" s="107">
        <v>501</v>
      </c>
      <c r="D5" s="113"/>
      <c r="E5" s="113"/>
      <c r="F5" s="113"/>
    </row>
    <row r="6" spans="1:8">
      <c r="A6" s="112" t="s">
        <v>10</v>
      </c>
      <c r="B6" s="2" t="s">
        <v>11</v>
      </c>
      <c r="C6" s="107">
        <v>502</v>
      </c>
      <c r="D6" s="113"/>
      <c r="E6" s="113"/>
      <c r="F6" s="113"/>
    </row>
    <row r="7" spans="1:8" hidden="1">
      <c r="A7" s="112" t="s">
        <v>12</v>
      </c>
      <c r="B7" s="2" t="s">
        <v>13</v>
      </c>
      <c r="C7" s="107">
        <v>503</v>
      </c>
      <c r="D7" s="113"/>
      <c r="E7" s="113"/>
      <c r="F7" s="113"/>
    </row>
    <row r="8" spans="1:8" hidden="1">
      <c r="A8" s="112" t="s">
        <v>14</v>
      </c>
      <c r="B8" s="2" t="s">
        <v>15</v>
      </c>
      <c r="C8" s="107">
        <v>504</v>
      </c>
      <c r="D8" s="113"/>
      <c r="E8" s="113"/>
      <c r="F8" s="113"/>
    </row>
    <row r="9" spans="1:8">
      <c r="A9" s="112" t="s">
        <v>16</v>
      </c>
      <c r="B9" s="2" t="s">
        <v>17</v>
      </c>
      <c r="C9" s="107">
        <v>511</v>
      </c>
      <c r="D9" s="113"/>
      <c r="E9" s="113"/>
      <c r="F9" s="113"/>
    </row>
    <row r="10" spans="1:8" hidden="1">
      <c r="A10" s="112" t="s">
        <v>18</v>
      </c>
      <c r="B10" s="2" t="s">
        <v>19</v>
      </c>
      <c r="C10" s="107">
        <v>512</v>
      </c>
      <c r="D10" s="113"/>
      <c r="E10" s="113"/>
      <c r="F10" s="113"/>
    </row>
    <row r="11" spans="1:8" hidden="1">
      <c r="A11" s="112" t="s">
        <v>20</v>
      </c>
      <c r="B11" s="2" t="s">
        <v>21</v>
      </c>
      <c r="C11" s="107">
        <v>513</v>
      </c>
      <c r="D11" s="113"/>
      <c r="E11" s="113"/>
      <c r="F11" s="113"/>
    </row>
    <row r="12" spans="1:8">
      <c r="A12" s="112" t="s">
        <v>22</v>
      </c>
      <c r="B12" s="2" t="s">
        <v>23</v>
      </c>
      <c r="C12" s="107">
        <v>518</v>
      </c>
      <c r="D12" s="113"/>
      <c r="E12" s="113"/>
      <c r="F12" s="113"/>
    </row>
    <row r="13" spans="1:8">
      <c r="A13" s="112" t="s">
        <v>24</v>
      </c>
      <c r="B13" s="2" t="s">
        <v>25</v>
      </c>
      <c r="C13" s="107">
        <v>521</v>
      </c>
      <c r="D13" s="113"/>
      <c r="E13" s="113"/>
      <c r="F13" s="113"/>
    </row>
    <row r="14" spans="1:8" hidden="1">
      <c r="A14" s="112" t="s">
        <v>26</v>
      </c>
      <c r="B14" s="2"/>
      <c r="C14" s="107"/>
      <c r="D14" s="2"/>
      <c r="E14" s="113"/>
      <c r="F14" s="113"/>
    </row>
    <row r="15" spans="1:8">
      <c r="A15" s="112" t="s">
        <v>27</v>
      </c>
      <c r="B15" s="2" t="s">
        <v>28</v>
      </c>
      <c r="C15" s="107">
        <v>524</v>
      </c>
      <c r="D15" s="113"/>
      <c r="E15" s="113"/>
      <c r="F15" s="113"/>
    </row>
    <row r="16" spans="1:8" ht="14" hidden="1" customHeight="1">
      <c r="A16" s="112" t="s">
        <v>29</v>
      </c>
      <c r="B16" s="2" t="s">
        <v>30</v>
      </c>
      <c r="C16" s="107">
        <v>525</v>
      </c>
      <c r="D16" s="113"/>
      <c r="E16" s="113"/>
      <c r="F16" s="113"/>
    </row>
    <row r="17" spans="1:6" hidden="1">
      <c r="A17" s="112" t="s">
        <v>31</v>
      </c>
      <c r="B17" s="2" t="s">
        <v>32</v>
      </c>
      <c r="C17" s="107">
        <v>527</v>
      </c>
      <c r="D17" s="113"/>
      <c r="E17" s="113"/>
      <c r="F17" s="113"/>
    </row>
    <row r="18" spans="1:6" hidden="1">
      <c r="A18" s="112" t="s">
        <v>33</v>
      </c>
      <c r="B18" s="2" t="s">
        <v>34</v>
      </c>
      <c r="C18" s="107">
        <v>528</v>
      </c>
      <c r="D18" s="113"/>
      <c r="E18" s="113"/>
      <c r="F18" s="113"/>
    </row>
    <row r="19" spans="1:6" hidden="1">
      <c r="A19" s="112" t="s">
        <v>35</v>
      </c>
      <c r="B19" s="2" t="s">
        <v>36</v>
      </c>
      <c r="C19" s="107">
        <v>531</v>
      </c>
      <c r="D19" s="113"/>
      <c r="E19" s="113"/>
      <c r="F19" s="113"/>
    </row>
    <row r="20" spans="1:6" hidden="1">
      <c r="A20" s="112" t="s">
        <v>37</v>
      </c>
      <c r="B20" s="2" t="s">
        <v>38</v>
      </c>
      <c r="C20" s="107">
        <v>532</v>
      </c>
      <c r="D20" s="113"/>
      <c r="E20" s="113"/>
      <c r="F20" s="113"/>
    </row>
    <row r="21" spans="1:6">
      <c r="A21" s="112" t="s">
        <v>39</v>
      </c>
      <c r="B21" s="2" t="s">
        <v>40</v>
      </c>
      <c r="C21" s="107">
        <v>538</v>
      </c>
      <c r="D21" s="113"/>
      <c r="E21" s="113"/>
      <c r="F21" s="113"/>
    </row>
    <row r="22" spans="1:6" hidden="1">
      <c r="A22" s="112" t="s">
        <v>41</v>
      </c>
      <c r="B22" s="2"/>
      <c r="C22" s="107"/>
      <c r="D22" s="113"/>
      <c r="E22" s="113"/>
      <c r="F22" s="113"/>
    </row>
    <row r="23" spans="1:6" hidden="1">
      <c r="A23" s="112" t="s">
        <v>42</v>
      </c>
      <c r="B23" s="2" t="s">
        <v>43</v>
      </c>
      <c r="C23" s="107">
        <v>541</v>
      </c>
      <c r="D23" s="113"/>
      <c r="E23" s="113"/>
      <c r="F23" s="113"/>
    </row>
    <row r="24" spans="1:6">
      <c r="A24" s="112" t="s">
        <v>44</v>
      </c>
      <c r="B24" s="2" t="s">
        <v>45</v>
      </c>
      <c r="C24" s="107">
        <v>542</v>
      </c>
      <c r="D24" s="113"/>
      <c r="E24" s="113"/>
      <c r="F24" s="113"/>
    </row>
    <row r="25" spans="1:6">
      <c r="A25" s="112" t="s">
        <v>46</v>
      </c>
      <c r="B25" s="2" t="s">
        <v>47</v>
      </c>
      <c r="C25" s="107">
        <v>543</v>
      </c>
      <c r="D25" s="113"/>
      <c r="E25" s="113"/>
      <c r="F25" s="113"/>
    </row>
    <row r="26" spans="1:6" hidden="1">
      <c r="A26" s="112" t="s">
        <v>48</v>
      </c>
      <c r="B26" s="2" t="s">
        <v>49</v>
      </c>
      <c r="C26" s="107">
        <v>544</v>
      </c>
      <c r="D26" s="113"/>
      <c r="E26" s="113"/>
      <c r="F26" s="113"/>
    </row>
    <row r="27" spans="1:6" hidden="1">
      <c r="A27" s="112" t="s">
        <v>50</v>
      </c>
      <c r="B27" s="2" t="s">
        <v>51</v>
      </c>
      <c r="C27" s="107">
        <v>547</v>
      </c>
      <c r="D27" s="113"/>
      <c r="E27" s="113"/>
      <c r="F27" s="113"/>
    </row>
    <row r="28" spans="1:6" hidden="1">
      <c r="A28" s="112" t="s">
        <v>52</v>
      </c>
      <c r="B28" s="2" t="s">
        <v>53</v>
      </c>
      <c r="C28" s="107">
        <v>548</v>
      </c>
      <c r="D28" s="113"/>
      <c r="E28" s="113"/>
      <c r="F28" s="113"/>
    </row>
    <row r="29" spans="1:6" hidden="1">
      <c r="A29" s="112" t="s">
        <v>54</v>
      </c>
      <c r="B29" s="2" t="s">
        <v>55</v>
      </c>
      <c r="C29" s="107">
        <v>551</v>
      </c>
      <c r="D29" s="113"/>
      <c r="E29" s="113"/>
      <c r="F29" s="113"/>
    </row>
    <row r="30" spans="1:6" hidden="1">
      <c r="A30" s="112" t="s">
        <v>56</v>
      </c>
      <c r="B30" s="2" t="s">
        <v>57</v>
      </c>
      <c r="C30" s="107">
        <v>552</v>
      </c>
      <c r="D30" s="113"/>
      <c r="E30" s="113"/>
      <c r="F30" s="113"/>
    </row>
    <row r="31" spans="1:6" hidden="1">
      <c r="A31" s="112" t="s">
        <v>58</v>
      </c>
      <c r="B31" s="2" t="s">
        <v>59</v>
      </c>
      <c r="C31" s="107">
        <v>553</v>
      </c>
      <c r="D31" s="113"/>
      <c r="E31" s="113"/>
      <c r="F31" s="113"/>
    </row>
    <row r="32" spans="1:6" hidden="1">
      <c r="A32" s="112" t="s">
        <v>60</v>
      </c>
      <c r="B32" s="2" t="s">
        <v>61</v>
      </c>
      <c r="C32" s="107">
        <v>554</v>
      </c>
      <c r="D32" s="113"/>
      <c r="E32" s="113"/>
      <c r="F32" s="113"/>
    </row>
    <row r="33" spans="1:6" hidden="1">
      <c r="A33" s="112" t="s">
        <v>62</v>
      </c>
      <c r="B33" s="2" t="s">
        <v>63</v>
      </c>
      <c r="C33" s="107">
        <v>555</v>
      </c>
      <c r="D33" s="113"/>
      <c r="E33" s="113"/>
      <c r="F33" s="113"/>
    </row>
    <row r="34" spans="1:6" hidden="1">
      <c r="A34" s="112" t="s">
        <v>64</v>
      </c>
      <c r="B34" s="2" t="s">
        <v>65</v>
      </c>
      <c r="C34" s="107">
        <v>556</v>
      </c>
      <c r="D34" s="113"/>
      <c r="E34" s="113"/>
      <c r="F34" s="113"/>
    </row>
    <row r="35" spans="1:6" hidden="1">
      <c r="A35" s="112" t="s">
        <v>66</v>
      </c>
      <c r="B35" s="2" t="s">
        <v>67</v>
      </c>
      <c r="C35" s="107">
        <v>557</v>
      </c>
      <c r="D35" s="113"/>
      <c r="E35" s="113"/>
      <c r="F35" s="113"/>
    </row>
    <row r="36" spans="1:6">
      <c r="A36" s="112" t="s">
        <v>68</v>
      </c>
      <c r="B36" s="2" t="s">
        <v>69</v>
      </c>
      <c r="C36" s="107">
        <v>549</v>
      </c>
      <c r="D36" s="113"/>
      <c r="E36" s="113"/>
      <c r="F36" s="113"/>
    </row>
    <row r="37" spans="1:6">
      <c r="A37" s="108" t="s">
        <v>70</v>
      </c>
      <c r="B37" s="1" t="s">
        <v>71</v>
      </c>
      <c r="C37" s="107"/>
      <c r="D37" s="111">
        <f>SUM(D38:D42)</f>
        <v>0</v>
      </c>
      <c r="E37" s="111"/>
      <c r="F37" s="111">
        <f>D37+E37</f>
        <v>0</v>
      </c>
    </row>
    <row r="38" spans="1:6" hidden="1">
      <c r="A38" s="112" t="s">
        <v>8</v>
      </c>
      <c r="B38" s="2" t="s">
        <v>72</v>
      </c>
      <c r="C38" s="107">
        <v>561</v>
      </c>
      <c r="D38" s="113"/>
      <c r="E38" s="113"/>
      <c r="F38" s="113">
        <f>D38+E38</f>
        <v>0</v>
      </c>
    </row>
    <row r="39" spans="1:6" hidden="1">
      <c r="A39" s="112" t="s">
        <v>10</v>
      </c>
      <c r="B39" s="2" t="s">
        <v>73</v>
      </c>
      <c r="C39" s="107">
        <v>562</v>
      </c>
      <c r="D39" s="113"/>
      <c r="E39" s="113"/>
      <c r="F39" s="113">
        <f>D39+E39</f>
        <v>0</v>
      </c>
    </row>
    <row r="40" spans="1:6" hidden="1">
      <c r="A40" s="112" t="s">
        <v>12</v>
      </c>
      <c r="B40" s="2" t="s">
        <v>74</v>
      </c>
      <c r="C40" s="107">
        <v>563</v>
      </c>
      <c r="D40" s="113"/>
      <c r="E40" s="113"/>
      <c r="F40" s="113">
        <f>D40+E40</f>
        <v>0</v>
      </c>
    </row>
    <row r="41" spans="1:6" hidden="1">
      <c r="A41" s="112" t="s">
        <v>14</v>
      </c>
      <c r="B41" s="2" t="s">
        <v>75</v>
      </c>
      <c r="C41" s="107">
        <v>564</v>
      </c>
      <c r="D41" s="113"/>
      <c r="E41" s="113"/>
      <c r="F41" s="113">
        <f>D41+E41</f>
        <v>0</v>
      </c>
    </row>
    <row r="42" spans="1:6">
      <c r="A42" s="112" t="s">
        <v>16</v>
      </c>
      <c r="B42" s="2" t="s">
        <v>76</v>
      </c>
      <c r="C42" s="107">
        <v>569</v>
      </c>
      <c r="D42" s="113"/>
      <c r="E42" s="113"/>
      <c r="F42" s="113"/>
    </row>
    <row r="43" spans="1:6" ht="32" customHeight="1">
      <c r="A43" s="114" t="s">
        <v>77</v>
      </c>
      <c r="B43" s="115" t="s">
        <v>78</v>
      </c>
      <c r="C43" s="107"/>
      <c r="D43" s="116">
        <f>SUM(D44:D45)</f>
        <v>0</v>
      </c>
      <c r="E43" s="116">
        <f>SUM(E44:E45)</f>
        <v>0</v>
      </c>
      <c r="F43" s="116">
        <f>D43+E43</f>
        <v>0</v>
      </c>
    </row>
    <row r="44" spans="1:6">
      <c r="A44" s="112" t="s">
        <v>10</v>
      </c>
      <c r="B44" s="2" t="s">
        <v>79</v>
      </c>
      <c r="C44" s="107">
        <v>572</v>
      </c>
      <c r="D44" s="113"/>
      <c r="E44" s="113"/>
      <c r="F44" s="113"/>
    </row>
    <row r="45" spans="1:6" hidden="1">
      <c r="A45" s="112" t="s">
        <v>14</v>
      </c>
      <c r="B45" s="2" t="s">
        <v>80</v>
      </c>
      <c r="C45" s="107">
        <v>574</v>
      </c>
      <c r="D45" s="113"/>
      <c r="E45" s="113"/>
      <c r="F45" s="113">
        <f>D45+E45</f>
        <v>0</v>
      </c>
    </row>
    <row r="46" spans="1:6">
      <c r="A46" s="2"/>
      <c r="B46" s="2"/>
      <c r="C46" s="107"/>
      <c r="D46" s="113"/>
      <c r="E46" s="113"/>
      <c r="F46" s="113"/>
    </row>
    <row r="47" spans="1:6" s="105" customFormat="1" ht="18">
      <c r="A47" s="109" t="s">
        <v>81</v>
      </c>
      <c r="B47" s="109" t="s">
        <v>82</v>
      </c>
      <c r="C47" s="110"/>
      <c r="D47" s="111">
        <f>D48+D74+D81+D91</f>
        <v>0</v>
      </c>
      <c r="E47" s="111">
        <f>E48+E74+E81+E91</f>
        <v>0</v>
      </c>
      <c r="F47" s="111">
        <f>D47+E47</f>
        <v>0</v>
      </c>
    </row>
    <row r="48" spans="1:6" s="103" customFormat="1">
      <c r="A48" s="108" t="s">
        <v>6</v>
      </c>
      <c r="B48" s="1" t="s">
        <v>83</v>
      </c>
      <c r="C48" s="108"/>
      <c r="D48" s="111">
        <f>SUM(D49:D73)</f>
        <v>0</v>
      </c>
      <c r="E48" s="111">
        <f>SUM(E49:E73)</f>
        <v>0</v>
      </c>
      <c r="F48" s="111">
        <f>D48+E48</f>
        <v>0</v>
      </c>
    </row>
    <row r="49" spans="1:6">
      <c r="A49" s="112" t="s">
        <v>8</v>
      </c>
      <c r="B49" s="2" t="s">
        <v>84</v>
      </c>
      <c r="C49" s="107">
        <v>601</v>
      </c>
      <c r="D49" s="113"/>
      <c r="E49" s="113"/>
      <c r="F49" s="113"/>
    </row>
    <row r="50" spans="1:6">
      <c r="A50" s="112" t="s">
        <v>10</v>
      </c>
      <c r="B50" s="2" t="s">
        <v>85</v>
      </c>
      <c r="C50" s="107">
        <v>602</v>
      </c>
      <c r="D50" s="113"/>
      <c r="E50" s="113"/>
      <c r="F50" s="113"/>
    </row>
    <row r="51" spans="1:6">
      <c r="A51" s="112" t="s">
        <v>12</v>
      </c>
      <c r="B51" s="2" t="s">
        <v>86</v>
      </c>
      <c r="C51" s="107">
        <v>603</v>
      </c>
      <c r="D51" s="113"/>
      <c r="E51" s="113"/>
      <c r="F51" s="113"/>
    </row>
    <row r="52" spans="1:6">
      <c r="A52" s="112" t="s">
        <v>14</v>
      </c>
      <c r="B52" s="2" t="s">
        <v>87</v>
      </c>
      <c r="C52" s="107">
        <v>604</v>
      </c>
      <c r="D52" s="113"/>
      <c r="E52" s="113"/>
      <c r="F52" s="113"/>
    </row>
    <row r="53" spans="1:6">
      <c r="A53" s="112" t="s">
        <v>16</v>
      </c>
      <c r="B53" s="2" t="s">
        <v>88</v>
      </c>
      <c r="C53" s="107">
        <v>605</v>
      </c>
      <c r="D53" s="113"/>
      <c r="E53" s="113"/>
      <c r="F53" s="113"/>
    </row>
    <row r="54" spans="1:6">
      <c r="A54" s="112" t="s">
        <v>18</v>
      </c>
      <c r="B54" s="2" t="s">
        <v>89</v>
      </c>
      <c r="C54" s="107">
        <v>606</v>
      </c>
      <c r="D54" s="113"/>
      <c r="E54" s="113"/>
      <c r="F54" s="113"/>
    </row>
    <row r="55" spans="1:6" hidden="1">
      <c r="A55" s="112" t="s">
        <v>20</v>
      </c>
      <c r="B55" s="2"/>
      <c r="C55" s="107"/>
      <c r="D55" s="113"/>
      <c r="E55" s="113"/>
      <c r="F55" s="113"/>
    </row>
    <row r="56" spans="1:6">
      <c r="A56" s="112" t="s">
        <v>22</v>
      </c>
      <c r="B56" s="2" t="s">
        <v>90</v>
      </c>
      <c r="C56" s="107">
        <v>609</v>
      </c>
      <c r="D56" s="113"/>
      <c r="E56" s="113"/>
      <c r="F56" s="113"/>
    </row>
    <row r="57" spans="1:6" hidden="1">
      <c r="A57" s="112" t="s">
        <v>24</v>
      </c>
      <c r="B57" s="2" t="s">
        <v>91</v>
      </c>
      <c r="C57" s="107">
        <v>611</v>
      </c>
      <c r="D57" s="113"/>
      <c r="E57" s="113"/>
      <c r="F57" s="113"/>
    </row>
    <row r="58" spans="1:6" hidden="1">
      <c r="A58" s="112" t="s">
        <v>26</v>
      </c>
      <c r="B58" s="2" t="s">
        <v>92</v>
      </c>
      <c r="C58" s="107">
        <v>612</v>
      </c>
      <c r="D58" s="113"/>
      <c r="E58" s="113"/>
      <c r="F58" s="113"/>
    </row>
    <row r="59" spans="1:6" hidden="1">
      <c r="A59" s="112" t="s">
        <v>27</v>
      </c>
      <c r="B59" s="2" t="s">
        <v>93</v>
      </c>
      <c r="C59" s="107">
        <v>613</v>
      </c>
      <c r="D59" s="113"/>
      <c r="E59" s="113"/>
      <c r="F59" s="113"/>
    </row>
    <row r="60" spans="1:6" hidden="1">
      <c r="A60" s="112" t="s">
        <v>29</v>
      </c>
      <c r="B60" s="2" t="s">
        <v>94</v>
      </c>
      <c r="C60" s="107">
        <v>614</v>
      </c>
      <c r="D60" s="113"/>
      <c r="E60" s="113"/>
      <c r="F60" s="113"/>
    </row>
    <row r="61" spans="1:6" hidden="1">
      <c r="A61" s="112" t="s">
        <v>31</v>
      </c>
      <c r="B61" s="2" t="s">
        <v>95</v>
      </c>
      <c r="C61" s="107">
        <v>621</v>
      </c>
      <c r="D61" s="113"/>
      <c r="E61" s="113"/>
      <c r="F61" s="113"/>
    </row>
    <row r="62" spans="1:6" hidden="1">
      <c r="A62" s="112" t="s">
        <v>33</v>
      </c>
      <c r="B62" s="2" t="s">
        <v>96</v>
      </c>
      <c r="C62" s="107">
        <v>622</v>
      </c>
      <c r="D62" s="113"/>
      <c r="E62" s="113"/>
      <c r="F62" s="113"/>
    </row>
    <row r="63" spans="1:6" hidden="1">
      <c r="A63" s="112" t="s">
        <v>35</v>
      </c>
      <c r="B63" s="2" t="s">
        <v>97</v>
      </c>
      <c r="C63" s="107">
        <v>623</v>
      </c>
      <c r="D63" s="113"/>
      <c r="E63" s="113"/>
      <c r="F63" s="113"/>
    </row>
    <row r="64" spans="1:6" hidden="1">
      <c r="A64" s="112" t="s">
        <v>37</v>
      </c>
      <c r="B64" s="2" t="s">
        <v>98</v>
      </c>
      <c r="C64" s="107">
        <v>624</v>
      </c>
      <c r="D64" s="113"/>
      <c r="E64" s="113"/>
      <c r="F64" s="113"/>
    </row>
    <row r="65" spans="1:6" hidden="1">
      <c r="A65" s="112" t="s">
        <v>39</v>
      </c>
      <c r="B65" s="2" t="s">
        <v>43</v>
      </c>
      <c r="C65" s="107">
        <v>641</v>
      </c>
      <c r="D65" s="113"/>
      <c r="E65" s="113"/>
      <c r="F65" s="113"/>
    </row>
    <row r="66" spans="1:6" hidden="1">
      <c r="A66" s="112" t="s">
        <v>41</v>
      </c>
      <c r="B66" s="2" t="s">
        <v>45</v>
      </c>
      <c r="C66" s="107">
        <v>642</v>
      </c>
      <c r="D66" s="113"/>
      <c r="E66" s="113"/>
      <c r="F66" s="113"/>
    </row>
    <row r="67" spans="1:6" hidden="1">
      <c r="A67" s="112" t="s">
        <v>42</v>
      </c>
      <c r="B67" s="2" t="s">
        <v>99</v>
      </c>
      <c r="C67" s="107">
        <v>643</v>
      </c>
      <c r="D67" s="113"/>
      <c r="E67" s="113"/>
      <c r="F67" s="113"/>
    </row>
    <row r="68" spans="1:6" hidden="1">
      <c r="A68" s="112" t="s">
        <v>44</v>
      </c>
      <c r="B68" s="2" t="s">
        <v>100</v>
      </c>
      <c r="C68" s="107">
        <v>644</v>
      </c>
      <c r="D68" s="113"/>
      <c r="E68" s="113"/>
      <c r="F68" s="113"/>
    </row>
    <row r="69" spans="1:6" hidden="1">
      <c r="A69" s="112" t="s">
        <v>46</v>
      </c>
      <c r="B69" s="2" t="s">
        <v>101</v>
      </c>
      <c r="C69" s="107">
        <v>645</v>
      </c>
      <c r="D69" s="113"/>
      <c r="E69" s="113"/>
      <c r="F69" s="113"/>
    </row>
    <row r="70" spans="1:6" hidden="1">
      <c r="A70" s="112" t="s">
        <v>48</v>
      </c>
      <c r="B70" s="2" t="s">
        <v>102</v>
      </c>
      <c r="C70" s="107">
        <v>646</v>
      </c>
      <c r="D70" s="113"/>
      <c r="E70" s="113"/>
      <c r="F70" s="113"/>
    </row>
    <row r="71" spans="1:6">
      <c r="A71" s="112" t="s">
        <v>50</v>
      </c>
      <c r="B71" s="2" t="s">
        <v>103</v>
      </c>
      <c r="C71" s="107">
        <v>647</v>
      </c>
      <c r="D71" s="113"/>
      <c r="E71" s="113"/>
      <c r="F71" s="113"/>
    </row>
    <row r="72" spans="1:6" hidden="1">
      <c r="A72" s="112" t="s">
        <v>52</v>
      </c>
      <c r="B72" s="2" t="s">
        <v>104</v>
      </c>
      <c r="C72" s="107">
        <v>648</v>
      </c>
      <c r="D72" s="113"/>
      <c r="E72" s="113"/>
      <c r="F72" s="113"/>
    </row>
    <row r="73" spans="1:6">
      <c r="A73" s="112" t="s">
        <v>54</v>
      </c>
      <c r="B73" s="2" t="s">
        <v>105</v>
      </c>
      <c r="C73" s="107">
        <v>649</v>
      </c>
      <c r="D73" s="113"/>
      <c r="E73" s="113"/>
      <c r="F73" s="113"/>
    </row>
    <row r="74" spans="1:6" s="103" customFormat="1">
      <c r="A74" s="108" t="s">
        <v>70</v>
      </c>
      <c r="B74" s="1" t="s">
        <v>106</v>
      </c>
      <c r="C74" s="108"/>
      <c r="D74" s="111">
        <f>SUM(D75:D80)</f>
        <v>0</v>
      </c>
      <c r="E74" s="111">
        <f>SUM(E75:E80)</f>
        <v>0</v>
      </c>
      <c r="F74" s="111">
        <f t="shared" ref="F74:F96" si="0">D74+E74</f>
        <v>0</v>
      </c>
    </row>
    <row r="75" spans="1:6" hidden="1">
      <c r="A75" s="112" t="s">
        <v>8</v>
      </c>
      <c r="B75" s="2" t="s">
        <v>107</v>
      </c>
      <c r="C75" s="107">
        <v>661</v>
      </c>
      <c r="D75" s="113"/>
      <c r="E75" s="113"/>
      <c r="F75" s="113">
        <f t="shared" si="0"/>
        <v>0</v>
      </c>
    </row>
    <row r="76" spans="1:6">
      <c r="A76" s="112" t="s">
        <v>10</v>
      </c>
      <c r="B76" s="2" t="s">
        <v>73</v>
      </c>
      <c r="C76" s="107">
        <v>662</v>
      </c>
      <c r="D76" s="113"/>
      <c r="E76" s="113"/>
      <c r="F76" s="113"/>
    </row>
    <row r="77" spans="1:6" hidden="1">
      <c r="A77" s="112" t="s">
        <v>12</v>
      </c>
      <c r="B77" s="2" t="s">
        <v>108</v>
      </c>
      <c r="C77" s="107">
        <v>663</v>
      </c>
      <c r="D77" s="113"/>
      <c r="E77" s="113"/>
      <c r="F77" s="113">
        <f t="shared" si="0"/>
        <v>0</v>
      </c>
    </row>
    <row r="78" spans="1:6" hidden="1">
      <c r="A78" s="112" t="s">
        <v>14</v>
      </c>
      <c r="B78" s="2" t="s">
        <v>109</v>
      </c>
      <c r="C78" s="107">
        <v>664</v>
      </c>
      <c r="D78" s="113"/>
      <c r="E78" s="113"/>
      <c r="F78" s="113">
        <f t="shared" si="0"/>
        <v>0</v>
      </c>
    </row>
    <row r="79" spans="1:6" hidden="1">
      <c r="A79" s="112" t="s">
        <v>16</v>
      </c>
      <c r="B79" s="2" t="s">
        <v>110</v>
      </c>
      <c r="C79" s="107">
        <v>665</v>
      </c>
      <c r="D79" s="113"/>
      <c r="E79" s="113"/>
      <c r="F79" s="113">
        <f t="shared" si="0"/>
        <v>0</v>
      </c>
    </row>
    <row r="80" spans="1:6" hidden="1">
      <c r="A80" s="112" t="s">
        <v>18</v>
      </c>
      <c r="B80" s="2" t="s">
        <v>111</v>
      </c>
      <c r="C80" s="107">
        <v>669</v>
      </c>
      <c r="D80" s="113"/>
      <c r="E80" s="113"/>
      <c r="F80" s="113">
        <f t="shared" si="0"/>
        <v>0</v>
      </c>
    </row>
    <row r="81" spans="1:6" s="103" customFormat="1">
      <c r="A81" s="108" t="s">
        <v>77</v>
      </c>
      <c r="B81" s="1" t="s">
        <v>112</v>
      </c>
      <c r="C81" s="108"/>
      <c r="D81" s="111">
        <f>SUM(D82:D90)</f>
        <v>0</v>
      </c>
      <c r="E81" s="111">
        <f>SUM(E82:E90)</f>
        <v>0</v>
      </c>
      <c r="F81" s="111">
        <f t="shared" si="0"/>
        <v>0</v>
      </c>
    </row>
    <row r="82" spans="1:6">
      <c r="A82" s="112" t="s">
        <v>8</v>
      </c>
      <c r="B82" s="2" t="s">
        <v>113</v>
      </c>
      <c r="C82" s="107">
        <v>631</v>
      </c>
      <c r="D82" s="113"/>
      <c r="E82" s="113"/>
      <c r="F82" s="113"/>
    </row>
    <row r="83" spans="1:6">
      <c r="A83" s="112" t="s">
        <v>10</v>
      </c>
      <c r="B83" s="2" t="s">
        <v>114</v>
      </c>
      <c r="C83" s="107">
        <v>632</v>
      </c>
      <c r="D83" s="113"/>
      <c r="E83" s="113"/>
      <c r="F83" s="113"/>
    </row>
    <row r="84" spans="1:6" hidden="1">
      <c r="A84" s="112" t="s">
        <v>12</v>
      </c>
      <c r="B84" s="2" t="s">
        <v>115</v>
      </c>
      <c r="C84" s="107">
        <v>633</v>
      </c>
      <c r="D84" s="113"/>
      <c r="E84" s="113"/>
      <c r="F84" s="113"/>
    </row>
    <row r="85" spans="1:6">
      <c r="A85" s="112" t="s">
        <v>14</v>
      </c>
      <c r="B85" s="2" t="s">
        <v>116</v>
      </c>
      <c r="C85" s="107">
        <v>634</v>
      </c>
      <c r="D85" s="113"/>
      <c r="E85" s="113"/>
      <c r="F85" s="113"/>
    </row>
    <row r="86" spans="1:6" hidden="1">
      <c r="A86" s="112" t="s">
        <v>16</v>
      </c>
      <c r="B86" s="2" t="s">
        <v>117</v>
      </c>
      <c r="C86" s="107">
        <v>635</v>
      </c>
      <c r="D86" s="113"/>
      <c r="E86" s="113"/>
      <c r="F86" s="113"/>
    </row>
    <row r="87" spans="1:6">
      <c r="A87" s="112" t="s">
        <v>18</v>
      </c>
      <c r="B87" s="2" t="s">
        <v>118</v>
      </c>
      <c r="C87" s="107">
        <v>636</v>
      </c>
      <c r="D87" s="113"/>
      <c r="E87" s="113"/>
      <c r="F87" s="113"/>
    </row>
    <row r="88" spans="1:6" hidden="1">
      <c r="A88" s="112" t="s">
        <v>20</v>
      </c>
      <c r="B88" s="2" t="s">
        <v>119</v>
      </c>
      <c r="C88" s="107"/>
      <c r="D88" s="113"/>
      <c r="E88" s="113"/>
      <c r="F88" s="113">
        <f t="shared" si="0"/>
        <v>0</v>
      </c>
    </row>
    <row r="89" spans="1:6" hidden="1">
      <c r="A89" s="112" t="s">
        <v>22</v>
      </c>
      <c r="B89" s="2"/>
      <c r="C89" s="107"/>
      <c r="D89" s="113"/>
      <c r="E89" s="113"/>
      <c r="F89" s="113">
        <f t="shared" si="0"/>
        <v>0</v>
      </c>
    </row>
    <row r="90" spans="1:6" hidden="1">
      <c r="A90" s="112" t="s">
        <v>24</v>
      </c>
      <c r="B90" s="2" t="s">
        <v>120</v>
      </c>
      <c r="C90" s="107">
        <v>639</v>
      </c>
      <c r="D90" s="113"/>
      <c r="E90" s="113"/>
      <c r="F90" s="113">
        <f t="shared" si="0"/>
        <v>0</v>
      </c>
    </row>
    <row r="91" spans="1:6" ht="32" customHeight="1">
      <c r="A91" s="114" t="s">
        <v>121</v>
      </c>
      <c r="B91" s="115" t="s">
        <v>122</v>
      </c>
      <c r="C91" s="107"/>
      <c r="D91" s="116">
        <f>SUM(D92:D95)</f>
        <v>0</v>
      </c>
      <c r="E91" s="116">
        <f>SUM(E92:E95)</f>
        <v>0</v>
      </c>
      <c r="F91" s="116">
        <f t="shared" si="0"/>
        <v>0</v>
      </c>
    </row>
    <row r="92" spans="1:6">
      <c r="A92" s="112" t="s">
        <v>8</v>
      </c>
      <c r="B92" s="2" t="s">
        <v>123</v>
      </c>
      <c r="C92" s="107">
        <v>671</v>
      </c>
      <c r="D92" s="113"/>
      <c r="E92" s="113"/>
      <c r="F92" s="113"/>
    </row>
    <row r="93" spans="1:6" hidden="1">
      <c r="A93" s="112" t="s">
        <v>10</v>
      </c>
      <c r="B93" s="2" t="s">
        <v>124</v>
      </c>
      <c r="C93" s="107">
        <v>672</v>
      </c>
      <c r="D93" s="113"/>
      <c r="E93" s="113"/>
      <c r="F93" s="113">
        <f t="shared" si="0"/>
        <v>0</v>
      </c>
    </row>
    <row r="94" spans="1:6" hidden="1">
      <c r="A94" s="112" t="s">
        <v>12</v>
      </c>
      <c r="B94" s="2" t="s">
        <v>125</v>
      </c>
      <c r="C94" s="107">
        <v>673</v>
      </c>
      <c r="D94" s="113"/>
      <c r="E94" s="113"/>
      <c r="F94" s="113">
        <f t="shared" si="0"/>
        <v>0</v>
      </c>
    </row>
    <row r="95" spans="1:6" hidden="1">
      <c r="A95" s="112" t="s">
        <v>14</v>
      </c>
      <c r="B95" s="2" t="s">
        <v>126</v>
      </c>
      <c r="C95" s="107">
        <v>674</v>
      </c>
      <c r="D95" s="113"/>
      <c r="E95" s="113"/>
      <c r="F95" s="113">
        <f t="shared" si="0"/>
        <v>0</v>
      </c>
    </row>
    <row r="96" spans="1:6" s="103" customFormat="1">
      <c r="A96" s="108" t="s">
        <v>127</v>
      </c>
      <c r="B96" s="1" t="s">
        <v>128</v>
      </c>
      <c r="C96" s="108"/>
      <c r="D96" s="111"/>
      <c r="E96" s="111"/>
      <c r="F96" s="111">
        <f t="shared" si="0"/>
        <v>0</v>
      </c>
    </row>
    <row r="97" spans="1:6">
      <c r="A97" s="112" t="s">
        <v>8</v>
      </c>
      <c r="B97" s="2" t="s">
        <v>129</v>
      </c>
      <c r="C97" s="107"/>
      <c r="D97" s="117"/>
      <c r="E97" s="117"/>
      <c r="F97" s="113"/>
    </row>
    <row r="98" spans="1:6">
      <c r="A98" s="112" t="s">
        <v>10</v>
      </c>
      <c r="B98" s="2" t="s">
        <v>130</v>
      </c>
      <c r="C98" s="107">
        <v>591</v>
      </c>
      <c r="D98" s="113"/>
      <c r="E98" s="113"/>
      <c r="F98" s="113"/>
    </row>
    <row r="99" spans="1:6">
      <c r="A99" s="112" t="s">
        <v>12</v>
      </c>
      <c r="B99" s="2" t="s">
        <v>131</v>
      </c>
      <c r="C99" s="107">
        <v>595</v>
      </c>
      <c r="D99" s="113"/>
      <c r="E99" s="113"/>
      <c r="F99" s="113"/>
    </row>
    <row r="100" spans="1:6">
      <c r="A100" s="112" t="s">
        <v>14</v>
      </c>
      <c r="B100" s="2" t="s">
        <v>132</v>
      </c>
      <c r="C100" s="107"/>
      <c r="D100" s="113"/>
      <c r="E100" s="113"/>
      <c r="F100" s="113"/>
    </row>
    <row r="101" spans="1:6">
      <c r="D101" s="3"/>
      <c r="E101" s="3"/>
      <c r="F101" s="3"/>
    </row>
    <row r="102" spans="1:6">
      <c r="D102" s="3"/>
      <c r="E102" s="3"/>
      <c r="F102" s="3"/>
    </row>
    <row r="103" spans="1:6">
      <c r="D103" s="3"/>
      <c r="E103" s="3"/>
      <c r="F103" s="3"/>
    </row>
    <row r="104" spans="1:6">
      <c r="D104" s="3"/>
      <c r="E104" s="3"/>
      <c r="F104" s="3"/>
    </row>
    <row r="105" spans="1:6">
      <c r="D105" s="3"/>
      <c r="E105" s="3"/>
      <c r="F105" s="3"/>
    </row>
    <row r="106" spans="1:6">
      <c r="D106" s="3"/>
      <c r="E106" s="3"/>
      <c r="F106" s="3"/>
    </row>
    <row r="107" spans="1:6">
      <c r="D107" s="3"/>
      <c r="E107" s="3"/>
      <c r="F107" s="3"/>
    </row>
    <row r="108" spans="1:6">
      <c r="D108" s="3"/>
      <c r="E108" s="3"/>
      <c r="F108" s="3"/>
    </row>
    <row r="109" spans="1:6">
      <c r="D109" s="3"/>
      <c r="E109" s="3"/>
      <c r="F109" s="3"/>
    </row>
    <row r="110" spans="1:6">
      <c r="D110" s="3"/>
      <c r="E110" s="3"/>
      <c r="F110" s="3"/>
    </row>
    <row r="111" spans="1:6">
      <c r="D111" s="3"/>
      <c r="E111" s="3"/>
      <c r="F111" s="3"/>
    </row>
    <row r="112" spans="1:6">
      <c r="D112" s="3"/>
      <c r="E112" s="3"/>
      <c r="F112" s="3"/>
    </row>
    <row r="113" spans="4:6">
      <c r="D113" s="3"/>
      <c r="E113" s="3"/>
      <c r="F113" s="3"/>
    </row>
    <row r="114" spans="4:6">
      <c r="D114" s="3"/>
      <c r="E114" s="3"/>
      <c r="F114" s="3"/>
    </row>
    <row r="115" spans="4:6">
      <c r="D115" s="3"/>
      <c r="E115" s="3"/>
      <c r="F115" s="3"/>
    </row>
    <row r="116" spans="4:6">
      <c r="D116" s="3"/>
      <c r="E116" s="3"/>
      <c r="F116" s="3"/>
    </row>
    <row r="117" spans="4:6">
      <c r="D117" s="3"/>
      <c r="E117" s="3"/>
      <c r="F117" s="3"/>
    </row>
    <row r="118" spans="4:6">
      <c r="D118" s="3"/>
      <c r="E118" s="3"/>
      <c r="F118" s="3"/>
    </row>
    <row r="119" spans="4:6">
      <c r="D119" s="3"/>
      <c r="E119" s="3"/>
      <c r="F119" s="3"/>
    </row>
    <row r="120" spans="4:6">
      <c r="D120" s="3"/>
      <c r="E120" s="3"/>
      <c r="F120" s="3"/>
    </row>
    <row r="121" spans="4:6">
      <c r="D121" s="3"/>
      <c r="E121" s="3"/>
      <c r="F121" s="3"/>
    </row>
    <row r="122" spans="4:6">
      <c r="D122" s="3"/>
      <c r="E122" s="3"/>
      <c r="F122" s="3"/>
    </row>
    <row r="123" spans="4:6">
      <c r="D123" s="3"/>
      <c r="E123" s="3"/>
      <c r="F123" s="3"/>
    </row>
    <row r="124" spans="4:6">
      <c r="D124" s="3"/>
      <c r="E124" s="3"/>
      <c r="F124" s="3"/>
    </row>
    <row r="125" spans="4:6">
      <c r="D125" s="3"/>
      <c r="E125" s="3"/>
      <c r="F125" s="3"/>
    </row>
    <row r="126" spans="4:6">
      <c r="D126" s="3"/>
      <c r="E126" s="3"/>
      <c r="F126" s="3"/>
    </row>
    <row r="127" spans="4:6">
      <c r="D127" s="3"/>
      <c r="E127" s="3"/>
      <c r="F127" s="3"/>
    </row>
    <row r="128" spans="4:6">
      <c r="D128" s="3"/>
      <c r="E128" s="3"/>
      <c r="F128" s="3"/>
    </row>
    <row r="129" spans="4:6">
      <c r="D129" s="3"/>
      <c r="E129" s="3"/>
      <c r="F129" s="3"/>
    </row>
    <row r="130" spans="4:6">
      <c r="D130" s="3"/>
      <c r="E130" s="3"/>
      <c r="F130" s="3"/>
    </row>
    <row r="131" spans="4:6">
      <c r="D131" s="3"/>
      <c r="E131" s="3"/>
      <c r="F131" s="3"/>
    </row>
    <row r="132" spans="4:6">
      <c r="D132" s="3"/>
      <c r="E132" s="3"/>
      <c r="F132" s="3"/>
    </row>
    <row r="133" spans="4:6">
      <c r="D133" s="3"/>
      <c r="E133" s="3"/>
      <c r="F133" s="3"/>
    </row>
    <row r="134" spans="4:6">
      <c r="D134" s="3"/>
      <c r="E134" s="3"/>
      <c r="F134" s="3"/>
    </row>
    <row r="135" spans="4:6">
      <c r="D135" s="3"/>
      <c r="E135" s="3"/>
      <c r="F135" s="3"/>
    </row>
    <row r="136" spans="4:6">
      <c r="D136" s="3"/>
      <c r="E136" s="3"/>
      <c r="F136" s="3"/>
    </row>
    <row r="137" spans="4:6">
      <c r="D137" s="3"/>
      <c r="E137" s="3"/>
      <c r="F137" s="3"/>
    </row>
    <row r="138" spans="4:6">
      <c r="D138" s="3"/>
      <c r="E138" s="3"/>
      <c r="F138" s="3"/>
    </row>
    <row r="139" spans="4:6">
      <c r="D139" s="3"/>
      <c r="E139" s="3"/>
      <c r="F139" s="3"/>
    </row>
    <row r="140" spans="4:6">
      <c r="D140" s="3"/>
      <c r="E140" s="3"/>
      <c r="F140" s="3"/>
    </row>
    <row r="141" spans="4:6">
      <c r="D141" s="3"/>
      <c r="E141" s="3"/>
      <c r="F141" s="3"/>
    </row>
    <row r="142" spans="4:6">
      <c r="D142" s="3"/>
      <c r="E142" s="3"/>
      <c r="F142" s="3"/>
    </row>
    <row r="143" spans="4:6">
      <c r="D143" s="3"/>
      <c r="E143" s="3"/>
      <c r="F143" s="3"/>
    </row>
    <row r="144" spans="4:6">
      <c r="D144" s="3"/>
      <c r="E144" s="3"/>
      <c r="F144" s="3"/>
    </row>
    <row r="145" spans="4:6">
      <c r="D145" s="3"/>
      <c r="E145" s="3"/>
      <c r="F145" s="3"/>
    </row>
    <row r="146" spans="4:6">
      <c r="D146" s="3"/>
      <c r="E146" s="3"/>
      <c r="F146" s="3"/>
    </row>
    <row r="147" spans="4:6">
      <c r="D147" s="3"/>
      <c r="E147" s="3"/>
      <c r="F147" s="3"/>
    </row>
    <row r="148" spans="4:6">
      <c r="D148" s="3"/>
      <c r="E148" s="3"/>
      <c r="F148" s="3"/>
    </row>
    <row r="149" spans="4:6">
      <c r="D149" s="3"/>
      <c r="E149" s="3"/>
      <c r="F149" s="3"/>
    </row>
    <row r="150" spans="4:6">
      <c r="D150" s="3"/>
      <c r="E150" s="3"/>
      <c r="F150" s="3"/>
    </row>
    <row r="151" spans="4:6">
      <c r="D151" s="3"/>
      <c r="E151" s="3"/>
      <c r="F151" s="3"/>
    </row>
    <row r="152" spans="4:6">
      <c r="D152" s="3"/>
      <c r="E152" s="3"/>
      <c r="F152" s="3"/>
    </row>
    <row r="153" spans="4:6">
      <c r="D153" s="3"/>
      <c r="E153" s="3"/>
      <c r="F153" s="3"/>
    </row>
    <row r="154" spans="4:6">
      <c r="D154" s="3"/>
      <c r="E154" s="3"/>
      <c r="F154" s="3"/>
    </row>
    <row r="155" spans="4:6">
      <c r="D155" s="3"/>
      <c r="E155" s="3"/>
      <c r="F155" s="3"/>
    </row>
    <row r="156" spans="4:6">
      <c r="D156" s="3"/>
      <c r="E156" s="3"/>
      <c r="F156" s="3"/>
    </row>
    <row r="157" spans="4:6">
      <c r="D157" s="3"/>
      <c r="E157" s="3"/>
      <c r="F157" s="3"/>
    </row>
    <row r="158" spans="4:6">
      <c r="D158" s="3"/>
      <c r="E158" s="3"/>
      <c r="F158" s="3"/>
    </row>
    <row r="159" spans="4:6">
      <c r="D159" s="3"/>
      <c r="E159" s="3"/>
      <c r="F159" s="3"/>
    </row>
    <row r="160" spans="4:6">
      <c r="D160" s="3"/>
      <c r="E160" s="3"/>
      <c r="F160" s="3"/>
    </row>
    <row r="161" spans="4:6">
      <c r="D161" s="3"/>
      <c r="E161" s="3"/>
      <c r="F161" s="3"/>
    </row>
    <row r="162" spans="4:6">
      <c r="D162" s="3"/>
      <c r="E162" s="3"/>
      <c r="F162" s="3"/>
    </row>
    <row r="163" spans="4:6">
      <c r="D163" s="3"/>
      <c r="E163" s="3"/>
      <c r="F163" s="3"/>
    </row>
    <row r="164" spans="4:6">
      <c r="D164" s="3"/>
      <c r="E164" s="3"/>
      <c r="F164" s="3"/>
    </row>
    <row r="165" spans="4:6">
      <c r="D165" s="3"/>
      <c r="E165" s="3"/>
      <c r="F165" s="3"/>
    </row>
    <row r="166" spans="4:6">
      <c r="D166" s="3"/>
      <c r="E166" s="3"/>
      <c r="F166" s="3"/>
    </row>
    <row r="167" spans="4:6">
      <c r="D167" s="3"/>
      <c r="E167" s="3"/>
      <c r="F167" s="3"/>
    </row>
    <row r="168" spans="4:6">
      <c r="D168" s="3"/>
      <c r="E168" s="3"/>
      <c r="F168" s="3"/>
    </row>
    <row r="169" spans="4:6">
      <c r="D169" s="3"/>
      <c r="E169" s="3"/>
      <c r="F169" s="3"/>
    </row>
    <row r="170" spans="4:6">
      <c r="D170" s="3"/>
      <c r="E170" s="3"/>
      <c r="F170" s="3"/>
    </row>
    <row r="171" spans="4:6">
      <c r="D171" s="3"/>
      <c r="E171" s="3"/>
      <c r="F171" s="3"/>
    </row>
    <row r="172" spans="4:6">
      <c r="D172" s="3"/>
      <c r="E172" s="3"/>
      <c r="F172" s="3"/>
    </row>
    <row r="173" spans="4:6">
      <c r="D173" s="3"/>
      <c r="E173" s="3"/>
      <c r="F173" s="3"/>
    </row>
    <row r="174" spans="4:6">
      <c r="D174" s="3"/>
      <c r="E174" s="3"/>
      <c r="F174" s="3"/>
    </row>
    <row r="175" spans="4:6">
      <c r="D175" s="3"/>
      <c r="E175" s="3"/>
      <c r="F175" s="3"/>
    </row>
    <row r="176" spans="4:6">
      <c r="D176" s="3"/>
      <c r="E176" s="3"/>
      <c r="F176" s="3"/>
    </row>
    <row r="177" spans="4:6">
      <c r="D177" s="3"/>
      <c r="E177" s="3"/>
      <c r="F177" s="3"/>
    </row>
    <row r="178" spans="4:6">
      <c r="D178" s="3"/>
      <c r="E178" s="3"/>
      <c r="F178" s="3"/>
    </row>
    <row r="179" spans="4:6">
      <c r="D179" s="3"/>
      <c r="E179" s="3"/>
      <c r="F179" s="3"/>
    </row>
    <row r="180" spans="4:6">
      <c r="D180" s="3"/>
      <c r="E180" s="3"/>
      <c r="F180" s="3"/>
    </row>
    <row r="181" spans="4:6">
      <c r="D181" s="3"/>
      <c r="E181" s="3"/>
      <c r="F181" s="3"/>
    </row>
    <row r="182" spans="4:6">
      <c r="D182" s="3"/>
      <c r="E182" s="3"/>
      <c r="F182" s="3"/>
    </row>
    <row r="183" spans="4:6">
      <c r="D183" s="3"/>
      <c r="E183" s="3"/>
      <c r="F183" s="3"/>
    </row>
    <row r="184" spans="4:6">
      <c r="D184" s="3"/>
      <c r="E184" s="3"/>
      <c r="F184" s="3"/>
    </row>
    <row r="185" spans="4:6">
      <c r="D185" s="3"/>
      <c r="E185" s="3"/>
      <c r="F185" s="3"/>
    </row>
    <row r="186" spans="4:6">
      <c r="D186" s="3"/>
      <c r="E186" s="3"/>
      <c r="F186" s="3"/>
    </row>
    <row r="187" spans="4:6">
      <c r="D187" s="3"/>
      <c r="E187" s="3"/>
      <c r="F187" s="3"/>
    </row>
    <row r="188" spans="4:6">
      <c r="D188" s="3"/>
      <c r="E188" s="3"/>
      <c r="F188" s="3"/>
    </row>
    <row r="189" spans="4:6">
      <c r="D189" s="3"/>
      <c r="E189" s="3"/>
      <c r="F189" s="3"/>
    </row>
    <row r="190" spans="4:6">
      <c r="D190" s="3"/>
      <c r="E190" s="3"/>
      <c r="F190" s="3"/>
    </row>
    <row r="191" spans="4:6">
      <c r="D191" s="3"/>
      <c r="E191" s="3"/>
      <c r="F191" s="3"/>
    </row>
    <row r="192" spans="4:6">
      <c r="D192" s="3"/>
      <c r="E192" s="3"/>
      <c r="F192" s="3"/>
    </row>
    <row r="193" spans="4:6">
      <c r="D193" s="3"/>
      <c r="E193" s="3"/>
      <c r="F193" s="3"/>
    </row>
    <row r="194" spans="4:6">
      <c r="D194" s="3"/>
      <c r="E194" s="3"/>
      <c r="F194" s="3"/>
    </row>
    <row r="195" spans="4:6">
      <c r="D195" s="3"/>
      <c r="E195" s="3"/>
      <c r="F195" s="3"/>
    </row>
    <row r="196" spans="4:6">
      <c r="D196" s="3"/>
      <c r="E196" s="3"/>
      <c r="F196" s="3"/>
    </row>
    <row r="197" spans="4:6">
      <c r="D197" s="3"/>
      <c r="E197" s="3"/>
      <c r="F197" s="3"/>
    </row>
    <row r="198" spans="4:6">
      <c r="D198" s="3"/>
      <c r="E198" s="3"/>
      <c r="F198" s="3"/>
    </row>
    <row r="199" spans="4:6">
      <c r="D199" s="3"/>
      <c r="E199" s="3"/>
      <c r="F199" s="3"/>
    </row>
    <row r="200" spans="4:6">
      <c r="D200" s="3"/>
      <c r="E200" s="3"/>
      <c r="F200" s="3"/>
    </row>
    <row r="201" spans="4:6">
      <c r="D201" s="3"/>
      <c r="E201" s="3"/>
      <c r="F201" s="3"/>
    </row>
    <row r="202" spans="4:6">
      <c r="D202" s="3"/>
      <c r="E202" s="3"/>
      <c r="F202" s="3"/>
    </row>
    <row r="203" spans="4:6">
      <c r="D203" s="3"/>
      <c r="E203" s="3"/>
      <c r="F203" s="3"/>
    </row>
    <row r="204" spans="4:6">
      <c r="D204" s="3"/>
      <c r="E204" s="3"/>
      <c r="F204" s="3"/>
    </row>
    <row r="205" spans="4:6">
      <c r="D205" s="3"/>
      <c r="E205" s="3"/>
      <c r="F205" s="3"/>
    </row>
    <row r="206" spans="4:6">
      <c r="D206" s="3"/>
      <c r="E206" s="3"/>
      <c r="F206" s="3"/>
    </row>
    <row r="207" spans="4:6">
      <c r="D207" s="3"/>
      <c r="E207" s="3"/>
      <c r="F207" s="3"/>
    </row>
    <row r="208" spans="4:6">
      <c r="D208" s="3"/>
      <c r="E208" s="3"/>
      <c r="F208" s="3"/>
    </row>
    <row r="209" spans="4:6">
      <c r="D209" s="3"/>
      <c r="E209" s="3"/>
      <c r="F209" s="3"/>
    </row>
    <row r="210" spans="4:6">
      <c r="D210" s="3"/>
      <c r="E210" s="3"/>
      <c r="F210" s="3"/>
    </row>
    <row r="211" spans="4:6">
      <c r="D211" s="3"/>
      <c r="E211" s="3"/>
      <c r="F211" s="3"/>
    </row>
    <row r="212" spans="4:6">
      <c r="D212" s="3"/>
      <c r="E212" s="3"/>
      <c r="F212" s="3"/>
    </row>
    <row r="213" spans="4:6">
      <c r="D213" s="3"/>
      <c r="E213" s="3"/>
      <c r="F213" s="3"/>
    </row>
    <row r="214" spans="4:6">
      <c r="D214" s="3"/>
      <c r="E214" s="3"/>
      <c r="F214" s="3"/>
    </row>
    <row r="215" spans="4:6">
      <c r="D215" s="3"/>
      <c r="E215" s="3"/>
      <c r="F215" s="3"/>
    </row>
    <row r="216" spans="4:6">
      <c r="D216" s="3"/>
      <c r="E216" s="3"/>
      <c r="F216" s="3"/>
    </row>
    <row r="217" spans="4:6">
      <c r="D217" s="3"/>
      <c r="E217" s="3"/>
      <c r="F217" s="3"/>
    </row>
    <row r="218" spans="4:6">
      <c r="D218" s="3"/>
      <c r="E218" s="3"/>
      <c r="F218" s="3"/>
    </row>
    <row r="219" spans="4:6">
      <c r="D219" s="3"/>
      <c r="E219" s="3"/>
      <c r="F219" s="3"/>
    </row>
    <row r="220" spans="4:6">
      <c r="D220" s="3"/>
      <c r="E220" s="3"/>
      <c r="F220" s="3"/>
    </row>
    <row r="221" spans="4:6">
      <c r="D221" s="3"/>
      <c r="E221" s="3"/>
      <c r="F221" s="3"/>
    </row>
    <row r="222" spans="4:6">
      <c r="D222" s="3"/>
      <c r="E222" s="3"/>
      <c r="F222" s="3"/>
    </row>
    <row r="223" spans="4:6">
      <c r="D223" s="3"/>
      <c r="E223" s="3"/>
      <c r="F223" s="3"/>
    </row>
    <row r="224" spans="4:6">
      <c r="D224" s="3"/>
      <c r="E224" s="3"/>
      <c r="F224" s="3"/>
    </row>
    <row r="225" spans="4:6">
      <c r="D225" s="3"/>
      <c r="E225" s="3"/>
      <c r="F225" s="3"/>
    </row>
    <row r="226" spans="4:6">
      <c r="D226" s="3"/>
      <c r="E226" s="3"/>
      <c r="F226" s="3"/>
    </row>
    <row r="227" spans="4:6">
      <c r="D227" s="3"/>
      <c r="E227" s="3"/>
      <c r="F227" s="3"/>
    </row>
    <row r="228" spans="4:6">
      <c r="D228" s="3"/>
      <c r="E228" s="3"/>
      <c r="F228" s="3"/>
    </row>
    <row r="229" spans="4:6">
      <c r="D229" s="3"/>
      <c r="E229" s="3"/>
      <c r="F229" s="3"/>
    </row>
    <row r="230" spans="4:6">
      <c r="D230" s="3"/>
      <c r="E230" s="3"/>
      <c r="F230" s="3"/>
    </row>
    <row r="231" spans="4:6">
      <c r="D231" s="3"/>
      <c r="E231" s="3"/>
      <c r="F231" s="3"/>
    </row>
    <row r="232" spans="4:6">
      <c r="D232" s="3"/>
      <c r="E232" s="3"/>
      <c r="F232" s="3"/>
    </row>
    <row r="233" spans="4:6">
      <c r="D233" s="3"/>
      <c r="E233" s="3"/>
      <c r="F233" s="3"/>
    </row>
    <row r="234" spans="4:6">
      <c r="D234" s="3"/>
      <c r="E234" s="3"/>
      <c r="F234" s="3"/>
    </row>
    <row r="235" spans="4:6">
      <c r="D235" s="3"/>
      <c r="E235" s="3"/>
      <c r="F235" s="3"/>
    </row>
    <row r="236" spans="4:6">
      <c r="D236" s="3"/>
      <c r="E236" s="3"/>
      <c r="F236" s="3"/>
    </row>
    <row r="237" spans="4:6">
      <c r="D237" s="3"/>
      <c r="E237" s="3"/>
      <c r="F237" s="3"/>
    </row>
    <row r="238" spans="4:6">
      <c r="D238" s="3"/>
      <c r="E238" s="3"/>
      <c r="F238" s="3"/>
    </row>
    <row r="239" spans="4:6">
      <c r="D239" s="3"/>
      <c r="E239" s="3"/>
      <c r="F239" s="3"/>
    </row>
    <row r="240" spans="4:6">
      <c r="D240" s="3"/>
      <c r="E240" s="3"/>
      <c r="F240" s="3"/>
    </row>
    <row r="241" spans="4:6">
      <c r="D241" s="3"/>
      <c r="E241" s="3"/>
      <c r="F241" s="3"/>
    </row>
    <row r="242" spans="4:6">
      <c r="D242" s="3"/>
      <c r="E242" s="3"/>
      <c r="F242" s="3"/>
    </row>
    <row r="243" spans="4:6">
      <c r="D243" s="3"/>
      <c r="E243" s="3"/>
      <c r="F243" s="3"/>
    </row>
    <row r="244" spans="4:6">
      <c r="D244" s="3"/>
      <c r="E244" s="3"/>
      <c r="F244" s="3"/>
    </row>
    <row r="245" spans="4:6">
      <c r="D245" s="3"/>
      <c r="E245" s="3"/>
      <c r="F245" s="3"/>
    </row>
    <row r="246" spans="4:6">
      <c r="D246" s="3"/>
      <c r="E246" s="3"/>
      <c r="F246" s="3"/>
    </row>
  </sheetData>
  <mergeCells count="1">
    <mergeCell ref="D1:E1"/>
  </mergeCells>
  <phoneticPr fontId="2" type="noConversion"/>
  <pageMargins left="0.37" right="0.28000000000000003" top="0.984251969" bottom="0.984251969" header="0.4921259845" footer="0.4921259845"/>
  <pageSetup paperSize="9" scale="95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29"/>
  <sheetViews>
    <sheetView workbookViewId="0">
      <pane ySplit="5" topLeftCell="A6" activePane="bottomLeft" state="frozen"/>
      <selection pane="bottomLeft" activeCell="O71" sqref="O71"/>
    </sheetView>
  </sheetViews>
  <sheetFormatPr baseColWidth="10" defaultColWidth="8.83203125" defaultRowHeight="13"/>
  <cols>
    <col min="1" max="1" width="9.6640625" style="4" customWidth="1"/>
    <col min="2" max="2" width="35.6640625" customWidth="1"/>
    <col min="3" max="3" width="4" style="5" customWidth="1"/>
    <col min="4" max="4" width="8.6640625" style="3" bestFit="1" customWidth="1"/>
    <col min="5" max="5" width="8.6640625" style="3" hidden="1" customWidth="1"/>
    <col min="6" max="6" width="7.6640625" style="3" hidden="1" customWidth="1"/>
    <col min="7" max="7" width="8.6640625" style="3" hidden="1" customWidth="1"/>
    <col min="8" max="8" width="9.5" style="3" bestFit="1" customWidth="1"/>
    <col min="9" max="10" width="7.6640625" style="3" hidden="1" customWidth="1"/>
    <col min="11" max="12" width="8.6640625" style="3" bestFit="1" customWidth="1"/>
    <col min="13" max="13" width="8.83203125" customWidth="1"/>
  </cols>
  <sheetData>
    <row r="1" spans="1:13" ht="19" thickBot="1">
      <c r="D1" s="5"/>
      <c r="G1" s="1085"/>
      <c r="H1" s="1085"/>
      <c r="I1" s="1085"/>
      <c r="J1" s="1085"/>
      <c r="K1"/>
      <c r="L1" s="31"/>
    </row>
    <row r="2" spans="1:13" ht="16">
      <c r="A2" s="1086" t="s">
        <v>133</v>
      </c>
      <c r="B2" s="1087"/>
      <c r="C2" s="1088"/>
      <c r="D2" s="41">
        <v>2009</v>
      </c>
      <c r="E2" s="41">
        <v>2010</v>
      </c>
      <c r="F2" s="41">
        <v>2010</v>
      </c>
      <c r="G2" s="102" t="s">
        <v>134</v>
      </c>
      <c r="H2" s="118" t="s">
        <v>135</v>
      </c>
      <c r="I2" s="64">
        <v>2012</v>
      </c>
      <c r="J2" s="58">
        <v>2013</v>
      </c>
      <c r="K2" s="118" t="s">
        <v>136</v>
      </c>
      <c r="L2" s="118" t="s">
        <v>137</v>
      </c>
    </row>
    <row r="3" spans="1:13">
      <c r="A3" s="42" t="s">
        <v>138</v>
      </c>
      <c r="B3" s="6"/>
      <c r="C3" s="7" t="s">
        <v>139</v>
      </c>
      <c r="D3" s="8"/>
      <c r="E3" s="8" t="s">
        <v>140</v>
      </c>
      <c r="F3" s="8" t="s">
        <v>141</v>
      </c>
      <c r="G3" s="43" t="s">
        <v>142</v>
      </c>
      <c r="H3" s="65" t="s">
        <v>142</v>
      </c>
      <c r="I3" s="65" t="s">
        <v>142</v>
      </c>
      <c r="J3" s="59" t="s">
        <v>142</v>
      </c>
      <c r="K3" s="65" t="s">
        <v>142</v>
      </c>
      <c r="L3" s="65" t="s">
        <v>142</v>
      </c>
    </row>
    <row r="4" spans="1:13" s="13" customFormat="1">
      <c r="A4" s="90"/>
      <c r="B4" s="91" t="s">
        <v>143</v>
      </c>
      <c r="C4" s="92"/>
      <c r="D4" s="93">
        <f>D5+D30+D57</f>
        <v>97888846.939999998</v>
      </c>
      <c r="E4" s="93">
        <f>E5+E30+E57</f>
        <v>100480107.44999999</v>
      </c>
      <c r="F4" s="93">
        <f>F5+F30+F57</f>
        <v>0</v>
      </c>
      <c r="G4" s="94">
        <f>E4+F4</f>
        <v>100480107.44999999</v>
      </c>
      <c r="H4" s="66">
        <f>H5+H30+H57</f>
        <v>100368483.44999999</v>
      </c>
      <c r="I4" s="66">
        <f>I5+I30+I57</f>
        <v>0</v>
      </c>
      <c r="J4" s="60">
        <f>J5+J30+J57</f>
        <v>0</v>
      </c>
      <c r="K4" s="66">
        <f>K5+K30+K57</f>
        <v>0</v>
      </c>
      <c r="L4" s="66">
        <f>L5+L30+L57</f>
        <v>0</v>
      </c>
      <c r="M4" s="32"/>
    </row>
    <row r="5" spans="1:13">
      <c r="A5" s="46" t="s">
        <v>4</v>
      </c>
      <c r="B5" s="33" t="s">
        <v>144</v>
      </c>
      <c r="C5" s="34"/>
      <c r="D5" s="35">
        <f>D6+D16+D27+D29</f>
        <v>92432399.849999994</v>
      </c>
      <c r="E5" s="35">
        <f>E6+E16+E27+E29</f>
        <v>94691344.949999988</v>
      </c>
      <c r="F5" s="35">
        <f>F6+F16+F27+F29</f>
        <v>0</v>
      </c>
      <c r="G5" s="47">
        <f>E5+F5</f>
        <v>94691344.949999988</v>
      </c>
      <c r="H5" s="67">
        <f>H6+H16+H27+H29</f>
        <v>94691344.949999988</v>
      </c>
      <c r="I5" s="67">
        <f>I6+I16+I27+I29</f>
        <v>0</v>
      </c>
      <c r="J5" s="61">
        <f>J6+J16+J27+J29</f>
        <v>0</v>
      </c>
      <c r="K5" s="67">
        <f>K6+K16+K27+K29</f>
        <v>0</v>
      </c>
      <c r="L5" s="67">
        <f>L6+L16+L27+L29</f>
        <v>0</v>
      </c>
    </row>
    <row r="6" spans="1:13">
      <c r="A6" s="44" t="s">
        <v>145</v>
      </c>
      <c r="B6" s="10" t="s">
        <v>146</v>
      </c>
      <c r="C6" s="11"/>
      <c r="D6" s="12">
        <f t="shared" ref="D6:J6" si="0">SUM(D7:D15)</f>
        <v>1626809.66</v>
      </c>
      <c r="E6" s="12">
        <f>SUM(E7:E15)</f>
        <v>1626809.66</v>
      </c>
      <c r="F6" s="12">
        <f t="shared" si="0"/>
        <v>0</v>
      </c>
      <c r="G6" s="45">
        <f t="shared" si="0"/>
        <v>1626809.66</v>
      </c>
      <c r="H6" s="66">
        <f t="shared" si="0"/>
        <v>1626809.66</v>
      </c>
      <c r="I6" s="66">
        <f t="shared" si="0"/>
        <v>0</v>
      </c>
      <c r="J6" s="60">
        <f t="shared" si="0"/>
        <v>0</v>
      </c>
      <c r="K6" s="66">
        <f>SUM(K7:K15)</f>
        <v>0</v>
      </c>
      <c r="L6" s="66">
        <f>SUM(L7:L15)</f>
        <v>0</v>
      </c>
    </row>
    <row r="7" spans="1:13" hidden="1">
      <c r="A7" s="48" t="s">
        <v>147</v>
      </c>
      <c r="B7" s="15" t="s">
        <v>148</v>
      </c>
      <c r="C7" s="16" t="s">
        <v>149</v>
      </c>
      <c r="D7" s="17"/>
      <c r="E7" s="17"/>
      <c r="F7" s="17"/>
      <c r="G7" s="49">
        <f t="shared" ref="G7:H29" si="1">E7+F7</f>
        <v>0</v>
      </c>
      <c r="H7" s="68"/>
      <c r="I7" s="68"/>
      <c r="J7" s="62"/>
      <c r="K7" s="68"/>
      <c r="L7" s="68"/>
    </row>
    <row r="8" spans="1:13" hidden="1">
      <c r="A8" s="48" t="s">
        <v>150</v>
      </c>
      <c r="B8" s="15" t="s">
        <v>151</v>
      </c>
      <c r="C8" s="16" t="s">
        <v>152</v>
      </c>
      <c r="D8" s="17"/>
      <c r="E8" s="17"/>
      <c r="F8" s="17"/>
      <c r="G8" s="49">
        <f t="shared" si="1"/>
        <v>0</v>
      </c>
      <c r="H8" s="68"/>
      <c r="I8" s="68"/>
      <c r="J8" s="62"/>
      <c r="K8" s="68"/>
      <c r="L8" s="68"/>
    </row>
    <row r="9" spans="1:13" hidden="1">
      <c r="A9" s="48" t="s">
        <v>153</v>
      </c>
      <c r="B9" s="15" t="s">
        <v>154</v>
      </c>
      <c r="C9" s="16" t="s">
        <v>155</v>
      </c>
      <c r="D9" s="17"/>
      <c r="E9" s="17"/>
      <c r="F9" s="17"/>
      <c r="G9" s="49">
        <f t="shared" si="1"/>
        <v>0</v>
      </c>
      <c r="H9" s="68"/>
      <c r="I9" s="68"/>
      <c r="J9" s="62"/>
      <c r="K9" s="68"/>
      <c r="L9" s="68"/>
    </row>
    <row r="10" spans="1:13" hidden="1">
      <c r="A10" s="48" t="s">
        <v>156</v>
      </c>
      <c r="B10" s="15" t="s">
        <v>157</v>
      </c>
      <c r="C10" s="16" t="s">
        <v>158</v>
      </c>
      <c r="D10" s="17"/>
      <c r="E10" s="17"/>
      <c r="F10" s="17"/>
      <c r="G10" s="49">
        <f t="shared" si="1"/>
        <v>0</v>
      </c>
      <c r="H10" s="68"/>
      <c r="I10" s="68"/>
      <c r="J10" s="62"/>
      <c r="K10" s="68"/>
      <c r="L10" s="68"/>
    </row>
    <row r="11" spans="1:13">
      <c r="A11" s="48" t="s">
        <v>159</v>
      </c>
      <c r="B11" s="15" t="s">
        <v>160</v>
      </c>
      <c r="C11" s="16" t="s">
        <v>161</v>
      </c>
      <c r="D11" s="17">
        <v>75743.66</v>
      </c>
      <c r="E11" s="17">
        <v>75743.66</v>
      </c>
      <c r="F11" s="17"/>
      <c r="G11" s="49">
        <f t="shared" si="1"/>
        <v>75743.66</v>
      </c>
      <c r="H11" s="68">
        <f t="shared" si="1"/>
        <v>75743.66</v>
      </c>
      <c r="I11" s="68"/>
      <c r="J11" s="62"/>
      <c r="K11" s="68">
        <f t="shared" ref="K11:L13" si="2">I11+J11</f>
        <v>0</v>
      </c>
      <c r="L11" s="68">
        <f t="shared" si="2"/>
        <v>0</v>
      </c>
    </row>
    <row r="12" spans="1:13">
      <c r="A12" s="48" t="s">
        <v>162</v>
      </c>
      <c r="B12" s="15" t="s">
        <v>163</v>
      </c>
      <c r="C12" s="16" t="s">
        <v>164</v>
      </c>
      <c r="D12" s="17">
        <v>1451066</v>
      </c>
      <c r="E12" s="17">
        <v>1451066</v>
      </c>
      <c r="F12" s="17"/>
      <c r="G12" s="49">
        <f t="shared" si="1"/>
        <v>1451066</v>
      </c>
      <c r="H12" s="68">
        <f t="shared" si="1"/>
        <v>1451066</v>
      </c>
      <c r="I12" s="68"/>
      <c r="J12" s="62"/>
      <c r="K12" s="68">
        <f t="shared" si="2"/>
        <v>0</v>
      </c>
      <c r="L12" s="68">
        <f t="shared" si="2"/>
        <v>0</v>
      </c>
    </row>
    <row r="13" spans="1:13">
      <c r="A13" s="48" t="s">
        <v>165</v>
      </c>
      <c r="B13" s="15" t="s">
        <v>166</v>
      </c>
      <c r="C13" s="16" t="s">
        <v>167</v>
      </c>
      <c r="D13" s="17">
        <v>100000</v>
      </c>
      <c r="E13" s="17">
        <v>100000</v>
      </c>
      <c r="F13" s="17"/>
      <c r="G13" s="49">
        <f t="shared" si="1"/>
        <v>100000</v>
      </c>
      <c r="H13" s="68">
        <f t="shared" si="1"/>
        <v>100000</v>
      </c>
      <c r="I13" s="68"/>
      <c r="J13" s="62"/>
      <c r="K13" s="68">
        <f t="shared" si="2"/>
        <v>0</v>
      </c>
      <c r="L13" s="68">
        <f t="shared" si="2"/>
        <v>0</v>
      </c>
    </row>
    <row r="14" spans="1:13" hidden="1">
      <c r="A14" s="48" t="s">
        <v>168</v>
      </c>
      <c r="B14" s="15" t="s">
        <v>169</v>
      </c>
      <c r="C14" s="16" t="s">
        <v>170</v>
      </c>
      <c r="D14" s="17"/>
      <c r="E14" s="17"/>
      <c r="F14" s="17"/>
      <c r="G14" s="49">
        <f t="shared" si="1"/>
        <v>0</v>
      </c>
      <c r="H14" s="68"/>
      <c r="I14" s="68"/>
      <c r="J14" s="62"/>
      <c r="K14" s="68"/>
      <c r="L14" s="68"/>
    </row>
    <row r="15" spans="1:13" hidden="1">
      <c r="A15" s="48" t="s">
        <v>171</v>
      </c>
      <c r="B15" s="15" t="s">
        <v>172</v>
      </c>
      <c r="C15" s="16" t="s">
        <v>173</v>
      </c>
      <c r="D15" s="17"/>
      <c r="E15" s="17"/>
      <c r="F15" s="17"/>
      <c r="G15" s="49">
        <f t="shared" si="1"/>
        <v>0</v>
      </c>
      <c r="H15" s="68"/>
      <c r="I15" s="68"/>
      <c r="J15" s="62"/>
      <c r="K15" s="68"/>
      <c r="L15" s="68"/>
    </row>
    <row r="16" spans="1:13">
      <c r="A16" s="44" t="s">
        <v>174</v>
      </c>
      <c r="B16" s="10" t="s">
        <v>175</v>
      </c>
      <c r="C16" s="11"/>
      <c r="D16" s="12">
        <f>SUM(D17:D26)</f>
        <v>90785590.189999998</v>
      </c>
      <c r="E16" s="12">
        <f>SUM(E17:E26)</f>
        <v>93044535.289999992</v>
      </c>
      <c r="F16" s="12">
        <f>SUM(F17:F26)</f>
        <v>0</v>
      </c>
      <c r="G16" s="45">
        <f>E16+F16</f>
        <v>93044535.289999992</v>
      </c>
      <c r="H16" s="66">
        <f>SUM(H17:H26)</f>
        <v>93044535.289999992</v>
      </c>
      <c r="I16" s="66">
        <f>SUM(I17:I26)</f>
        <v>0</v>
      </c>
      <c r="J16" s="60">
        <f>SUM(J17:J26)</f>
        <v>0</v>
      </c>
      <c r="K16" s="66">
        <f>SUM(K17:K26)</f>
        <v>0</v>
      </c>
      <c r="L16" s="66">
        <f>SUM(L17:L26)</f>
        <v>0</v>
      </c>
    </row>
    <row r="17" spans="1:12">
      <c r="A17" s="48" t="s">
        <v>147</v>
      </c>
      <c r="B17" s="15" t="s">
        <v>176</v>
      </c>
      <c r="C17" s="16" t="s">
        <v>152</v>
      </c>
      <c r="D17" s="17">
        <v>4787584.25</v>
      </c>
      <c r="E17" s="17">
        <v>4726534.2</v>
      </c>
      <c r="F17" s="17"/>
      <c r="G17" s="49">
        <f t="shared" si="1"/>
        <v>4726534.2</v>
      </c>
      <c r="H17" s="68">
        <f t="shared" si="1"/>
        <v>4726534.2</v>
      </c>
      <c r="I17" s="68"/>
      <c r="J17" s="62"/>
      <c r="K17" s="68">
        <f t="shared" ref="K17:K24" si="3">I17+J17</f>
        <v>0</v>
      </c>
      <c r="L17" s="68">
        <f t="shared" ref="L17:L24" si="4">J17+K17</f>
        <v>0</v>
      </c>
    </row>
    <row r="18" spans="1:12" hidden="1">
      <c r="A18" s="48" t="s">
        <v>150</v>
      </c>
      <c r="B18" s="15" t="s">
        <v>177</v>
      </c>
      <c r="C18" s="16" t="s">
        <v>178</v>
      </c>
      <c r="D18" s="17"/>
      <c r="E18" s="17"/>
      <c r="F18" s="17"/>
      <c r="G18" s="49">
        <f t="shared" si="1"/>
        <v>0</v>
      </c>
      <c r="H18" s="68">
        <f t="shared" si="1"/>
        <v>0</v>
      </c>
      <c r="I18" s="68"/>
      <c r="J18" s="62"/>
      <c r="K18" s="68">
        <f t="shared" si="3"/>
        <v>0</v>
      </c>
      <c r="L18" s="68">
        <f t="shared" si="4"/>
        <v>0</v>
      </c>
    </row>
    <row r="19" spans="1:12">
      <c r="A19" s="48" t="s">
        <v>153</v>
      </c>
      <c r="B19" s="15" t="s">
        <v>179</v>
      </c>
      <c r="C19" s="16" t="s">
        <v>180</v>
      </c>
      <c r="D19" s="17">
        <v>85108837.989999995</v>
      </c>
      <c r="E19" s="17">
        <v>85143837.989999995</v>
      </c>
      <c r="F19" s="17"/>
      <c r="G19" s="49">
        <f t="shared" si="1"/>
        <v>85143837.989999995</v>
      </c>
      <c r="H19" s="68">
        <f t="shared" si="1"/>
        <v>85143837.989999995</v>
      </c>
      <c r="I19" s="68"/>
      <c r="J19" s="62"/>
      <c r="K19" s="68">
        <f t="shared" si="3"/>
        <v>0</v>
      </c>
      <c r="L19" s="68">
        <f t="shared" si="4"/>
        <v>0</v>
      </c>
    </row>
    <row r="20" spans="1:12">
      <c r="A20" s="48" t="s">
        <v>156</v>
      </c>
      <c r="B20" s="15" t="s">
        <v>181</v>
      </c>
      <c r="C20" s="16" t="s">
        <v>182</v>
      </c>
      <c r="D20" s="17">
        <v>506925.8</v>
      </c>
      <c r="E20" s="17">
        <v>506925.8</v>
      </c>
      <c r="F20" s="17"/>
      <c r="G20" s="49">
        <f t="shared" si="1"/>
        <v>506925.8</v>
      </c>
      <c r="H20" s="68">
        <f t="shared" si="1"/>
        <v>506925.8</v>
      </c>
      <c r="I20" s="68"/>
      <c r="J20" s="62"/>
      <c r="K20" s="68">
        <f t="shared" si="3"/>
        <v>0</v>
      </c>
      <c r="L20" s="68">
        <f t="shared" si="4"/>
        <v>0</v>
      </c>
    </row>
    <row r="21" spans="1:12" hidden="1">
      <c r="A21" s="48" t="s">
        <v>159</v>
      </c>
      <c r="B21" s="15" t="s">
        <v>183</v>
      </c>
      <c r="C21" s="16" t="s">
        <v>184</v>
      </c>
      <c r="D21" s="17"/>
      <c r="E21" s="17"/>
      <c r="F21" s="17"/>
      <c r="G21" s="49">
        <f t="shared" si="1"/>
        <v>0</v>
      </c>
      <c r="H21" s="68">
        <f t="shared" si="1"/>
        <v>0</v>
      </c>
      <c r="I21" s="68"/>
      <c r="J21" s="62"/>
      <c r="K21" s="68">
        <f t="shared" si="3"/>
        <v>0</v>
      </c>
      <c r="L21" s="68">
        <f t="shared" si="4"/>
        <v>0</v>
      </c>
    </row>
    <row r="22" spans="1:12">
      <c r="A22" s="48" t="s">
        <v>162</v>
      </c>
      <c r="B22" s="15" t="s">
        <v>185</v>
      </c>
      <c r="C22" s="16" t="s">
        <v>186</v>
      </c>
      <c r="D22" s="17">
        <v>280115.15000000002</v>
      </c>
      <c r="E22" s="17">
        <v>313510.3</v>
      </c>
      <c r="F22" s="17"/>
      <c r="G22" s="49">
        <f t="shared" si="1"/>
        <v>313510.3</v>
      </c>
      <c r="H22" s="68">
        <f t="shared" si="1"/>
        <v>313510.3</v>
      </c>
      <c r="I22" s="68"/>
      <c r="J22" s="62"/>
      <c r="K22" s="68">
        <f t="shared" si="3"/>
        <v>0</v>
      </c>
      <c r="L22" s="68">
        <f t="shared" si="4"/>
        <v>0</v>
      </c>
    </row>
    <row r="23" spans="1:12" hidden="1">
      <c r="A23" s="48" t="s">
        <v>165</v>
      </c>
      <c r="B23" s="15" t="s">
        <v>187</v>
      </c>
      <c r="C23" s="16" t="s">
        <v>188</v>
      </c>
      <c r="D23" s="17"/>
      <c r="E23" s="17"/>
      <c r="F23" s="17"/>
      <c r="G23" s="49">
        <f t="shared" si="1"/>
        <v>0</v>
      </c>
      <c r="H23" s="68">
        <f t="shared" si="1"/>
        <v>0</v>
      </c>
      <c r="I23" s="68"/>
      <c r="J23" s="62"/>
      <c r="K23" s="68">
        <f t="shared" si="3"/>
        <v>0</v>
      </c>
      <c r="L23" s="68">
        <f t="shared" si="4"/>
        <v>0</v>
      </c>
    </row>
    <row r="24" spans="1:12">
      <c r="A24" s="48" t="s">
        <v>168</v>
      </c>
      <c r="B24" s="15" t="s">
        <v>189</v>
      </c>
      <c r="C24" s="16" t="s">
        <v>190</v>
      </c>
      <c r="D24" s="17">
        <v>102127</v>
      </c>
      <c r="E24" s="17">
        <v>2353727</v>
      </c>
      <c r="F24" s="17"/>
      <c r="G24" s="49">
        <f t="shared" si="1"/>
        <v>2353727</v>
      </c>
      <c r="H24" s="68">
        <f t="shared" si="1"/>
        <v>2353727</v>
      </c>
      <c r="I24" s="68"/>
      <c r="J24" s="62"/>
      <c r="K24" s="68">
        <f t="shared" si="3"/>
        <v>0</v>
      </c>
      <c r="L24" s="68">
        <f t="shared" si="4"/>
        <v>0</v>
      </c>
    </row>
    <row r="25" spans="1:12" hidden="1">
      <c r="A25" s="48" t="s">
        <v>171</v>
      </c>
      <c r="B25" s="15" t="s">
        <v>191</v>
      </c>
      <c r="C25" s="16" t="s">
        <v>192</v>
      </c>
      <c r="D25" s="17"/>
      <c r="E25" s="17"/>
      <c r="F25" s="17"/>
      <c r="G25" s="49">
        <f t="shared" si="1"/>
        <v>0</v>
      </c>
      <c r="H25" s="68"/>
      <c r="I25" s="68"/>
      <c r="J25" s="62"/>
      <c r="K25" s="68"/>
      <c r="L25" s="68"/>
    </row>
    <row r="26" spans="1:12" hidden="1">
      <c r="A26" s="48" t="s">
        <v>193</v>
      </c>
      <c r="B26" s="15" t="s">
        <v>194</v>
      </c>
      <c r="C26" s="16" t="s">
        <v>195</v>
      </c>
      <c r="D26" s="17"/>
      <c r="E26" s="17"/>
      <c r="F26" s="17"/>
      <c r="G26" s="49">
        <f t="shared" si="1"/>
        <v>0</v>
      </c>
      <c r="H26" s="68"/>
      <c r="I26" s="68"/>
      <c r="J26" s="62"/>
      <c r="K26" s="68"/>
      <c r="L26" s="68"/>
    </row>
    <row r="27" spans="1:12">
      <c r="A27" s="44" t="s">
        <v>196</v>
      </c>
      <c r="B27" s="10" t="s">
        <v>197</v>
      </c>
      <c r="C27" s="11"/>
      <c r="D27" s="12">
        <f>SUM(D28:D28)</f>
        <v>20000</v>
      </c>
      <c r="E27" s="12">
        <f>SUM(E28:E28)</f>
        <v>20000</v>
      </c>
      <c r="F27" s="12">
        <f>SUM(F28:F28)</f>
        <v>0</v>
      </c>
      <c r="G27" s="45">
        <f>E27+F27</f>
        <v>20000</v>
      </c>
      <c r="H27" s="66">
        <f>SUM(H28:H28)</f>
        <v>20000</v>
      </c>
      <c r="I27" s="66">
        <f>SUM(I28:I28)</f>
        <v>0</v>
      </c>
      <c r="J27" s="60">
        <f>SUM(J28:J28)</f>
        <v>0</v>
      </c>
      <c r="K27" s="66">
        <f>SUM(K28:K28)</f>
        <v>0</v>
      </c>
      <c r="L27" s="66">
        <f>SUM(L28:L28)</f>
        <v>0</v>
      </c>
    </row>
    <row r="28" spans="1:12">
      <c r="A28" s="48" t="s">
        <v>165</v>
      </c>
      <c r="B28" s="15" t="s">
        <v>198</v>
      </c>
      <c r="C28" s="16" t="s">
        <v>199</v>
      </c>
      <c r="D28" s="17">
        <v>20000</v>
      </c>
      <c r="E28" s="17">
        <v>20000</v>
      </c>
      <c r="F28" s="17"/>
      <c r="G28" s="49">
        <f t="shared" si="1"/>
        <v>20000</v>
      </c>
      <c r="H28" s="68">
        <f t="shared" si="1"/>
        <v>20000</v>
      </c>
      <c r="I28" s="68"/>
      <c r="J28" s="62"/>
      <c r="K28" s="68">
        <f>I28+J28</f>
        <v>0</v>
      </c>
      <c r="L28" s="68">
        <f>J28+K28</f>
        <v>0</v>
      </c>
    </row>
    <row r="29" spans="1:12" s="36" customFormat="1">
      <c r="A29" s="44" t="s">
        <v>121</v>
      </c>
      <c r="B29" s="10" t="s">
        <v>200</v>
      </c>
      <c r="C29" s="11"/>
      <c r="D29" s="12"/>
      <c r="E29" s="12"/>
      <c r="F29" s="12"/>
      <c r="G29" s="50">
        <f t="shared" si="1"/>
        <v>0</v>
      </c>
      <c r="H29" s="66">
        <v>0</v>
      </c>
      <c r="I29" s="66"/>
      <c r="J29" s="60"/>
      <c r="K29" s="66">
        <v>0</v>
      </c>
      <c r="L29" s="66">
        <v>0</v>
      </c>
    </row>
    <row r="30" spans="1:12">
      <c r="A30" s="46" t="s">
        <v>81</v>
      </c>
      <c r="B30" s="33" t="s">
        <v>201</v>
      </c>
      <c r="C30" s="34"/>
      <c r="D30" s="35">
        <f>D31+D34+D50</f>
        <v>5456447.0899999999</v>
      </c>
      <c r="E30" s="35">
        <f>E31+E34+E50</f>
        <v>5788762.5</v>
      </c>
      <c r="F30" s="35">
        <f>F31+F34+F50</f>
        <v>0</v>
      </c>
      <c r="G30" s="47">
        <f>E30+F30</f>
        <v>5788762.5</v>
      </c>
      <c r="H30" s="67">
        <f>H31+H34+H50</f>
        <v>5677138.5</v>
      </c>
      <c r="I30" s="67">
        <f>I31+I34+I50</f>
        <v>0</v>
      </c>
      <c r="J30" s="61">
        <f>J31+J34+J50</f>
        <v>0</v>
      </c>
      <c r="K30" s="67">
        <f>K31+K34+K50</f>
        <v>0</v>
      </c>
      <c r="L30" s="67">
        <f>L31+L34+L50</f>
        <v>0</v>
      </c>
    </row>
    <row r="31" spans="1:12">
      <c r="A31" s="44" t="s">
        <v>202</v>
      </c>
      <c r="B31" s="10" t="s">
        <v>203</v>
      </c>
      <c r="C31" s="11"/>
      <c r="D31" s="12">
        <f>SUM(D32:D33)</f>
        <v>54280.5</v>
      </c>
      <c r="E31" s="12">
        <f>SUM(E32:E33)</f>
        <v>63982.5</v>
      </c>
      <c r="F31" s="12">
        <f>SUM(F32:F33)</f>
        <v>0</v>
      </c>
      <c r="G31" s="45">
        <f>E31+F31</f>
        <v>63982.5</v>
      </c>
      <c r="H31" s="66">
        <f>SUM(H32:H33)</f>
        <v>63982.5</v>
      </c>
      <c r="I31" s="66">
        <f>SUM(I32:I33)</f>
        <v>0</v>
      </c>
      <c r="J31" s="60">
        <f>SUM(J32:J33)</f>
        <v>0</v>
      </c>
      <c r="K31" s="66">
        <f>SUM(K32:K33)</f>
        <v>0</v>
      </c>
      <c r="L31" s="66">
        <f>SUM(L32:L33)</f>
        <v>0</v>
      </c>
    </row>
    <row r="32" spans="1:12" hidden="1">
      <c r="A32" s="48" t="s">
        <v>147</v>
      </c>
      <c r="B32" s="15" t="s">
        <v>204</v>
      </c>
      <c r="C32" s="16" t="s">
        <v>205</v>
      </c>
      <c r="D32" s="17"/>
      <c r="E32" s="17"/>
      <c r="F32" s="17"/>
      <c r="G32" s="49">
        <f t="shared" ref="G32:H56" si="5">E32+F32</f>
        <v>0</v>
      </c>
      <c r="H32" s="68"/>
      <c r="I32" s="68"/>
      <c r="J32" s="62"/>
      <c r="K32" s="68"/>
      <c r="L32" s="68"/>
    </row>
    <row r="33" spans="1:12">
      <c r="A33" s="48" t="s">
        <v>150</v>
      </c>
      <c r="B33" s="15" t="s">
        <v>206</v>
      </c>
      <c r="C33" s="16" t="s">
        <v>207</v>
      </c>
      <c r="D33" s="17">
        <v>54280.5</v>
      </c>
      <c r="E33" s="17">
        <v>63982.5</v>
      </c>
      <c r="F33" s="17"/>
      <c r="G33" s="49">
        <f t="shared" si="5"/>
        <v>63982.5</v>
      </c>
      <c r="H33" s="68">
        <f t="shared" si="5"/>
        <v>63982.5</v>
      </c>
      <c r="I33" s="68"/>
      <c r="J33" s="62"/>
      <c r="K33" s="68">
        <f>I33+J33</f>
        <v>0</v>
      </c>
      <c r="L33" s="68">
        <f>J33+K33</f>
        <v>0</v>
      </c>
    </row>
    <row r="34" spans="1:12">
      <c r="A34" s="44" t="s">
        <v>174</v>
      </c>
      <c r="B34" s="10" t="s">
        <v>208</v>
      </c>
      <c r="C34" s="11"/>
      <c r="D34" s="12">
        <f>SUM(D35:D49)</f>
        <v>5355393</v>
      </c>
      <c r="E34" s="12">
        <f>SUM(E35:E49)</f>
        <v>5173150</v>
      </c>
      <c r="F34" s="12">
        <f>SUM(F35:F49)</f>
        <v>0</v>
      </c>
      <c r="G34" s="45">
        <f>E34+F34</f>
        <v>5173150</v>
      </c>
      <c r="H34" s="66">
        <f>SUM(H35:H49)</f>
        <v>5061526</v>
      </c>
      <c r="I34" s="66">
        <f>SUM(I35:I49)</f>
        <v>0</v>
      </c>
      <c r="J34" s="60">
        <f>SUM(J35:J49)</f>
        <v>0</v>
      </c>
      <c r="K34" s="66">
        <f>SUM(K35:K49)</f>
        <v>0</v>
      </c>
      <c r="L34" s="66">
        <f>SUM(L35:L49)</f>
        <v>0</v>
      </c>
    </row>
    <row r="35" spans="1:12">
      <c r="A35" s="48" t="s">
        <v>147</v>
      </c>
      <c r="B35" s="15" t="s">
        <v>209</v>
      </c>
      <c r="C35" s="16" t="s">
        <v>210</v>
      </c>
      <c r="D35" s="17">
        <v>3517286</v>
      </c>
      <c r="E35" s="17">
        <v>3048386</v>
      </c>
      <c r="F35" s="17"/>
      <c r="G35" s="49">
        <f t="shared" si="5"/>
        <v>3048386</v>
      </c>
      <c r="H35" s="68">
        <f t="shared" si="5"/>
        <v>3048386</v>
      </c>
      <c r="I35" s="68"/>
      <c r="J35" s="62"/>
      <c r="K35" s="68">
        <f t="shared" ref="K35:L39" si="6">I35+J35</f>
        <v>0</v>
      </c>
      <c r="L35" s="68">
        <f t="shared" si="6"/>
        <v>0</v>
      </c>
    </row>
    <row r="36" spans="1:12" hidden="1">
      <c r="A36" s="48" t="s">
        <v>150</v>
      </c>
      <c r="B36" s="15" t="s">
        <v>211</v>
      </c>
      <c r="C36" s="16" t="s">
        <v>212</v>
      </c>
      <c r="D36" s="17"/>
      <c r="E36" s="17"/>
      <c r="F36" s="17"/>
      <c r="G36" s="49">
        <f t="shared" si="5"/>
        <v>0</v>
      </c>
      <c r="H36" s="68">
        <f t="shared" si="5"/>
        <v>0</v>
      </c>
      <c r="I36" s="68"/>
      <c r="J36" s="62"/>
      <c r="K36" s="68">
        <f t="shared" si="6"/>
        <v>0</v>
      </c>
      <c r="L36" s="68">
        <f t="shared" si="6"/>
        <v>0</v>
      </c>
    </row>
    <row r="37" spans="1:12" hidden="1">
      <c r="A37" s="48" t="s">
        <v>153</v>
      </c>
      <c r="B37" s="15" t="s">
        <v>213</v>
      </c>
      <c r="C37" s="16" t="s">
        <v>214</v>
      </c>
      <c r="D37" s="17"/>
      <c r="E37" s="17"/>
      <c r="F37" s="17"/>
      <c r="G37" s="49">
        <f t="shared" si="5"/>
        <v>0</v>
      </c>
      <c r="H37" s="68">
        <f t="shared" si="5"/>
        <v>0</v>
      </c>
      <c r="I37" s="68"/>
      <c r="J37" s="62"/>
      <c r="K37" s="68">
        <f t="shared" si="6"/>
        <v>0</v>
      </c>
      <c r="L37" s="68">
        <f t="shared" si="6"/>
        <v>0</v>
      </c>
    </row>
    <row r="38" spans="1:12">
      <c r="A38" s="48" t="s">
        <v>156</v>
      </c>
      <c r="B38" s="15" t="s">
        <v>215</v>
      </c>
      <c r="C38" s="16" t="s">
        <v>216</v>
      </c>
      <c r="D38" s="17"/>
      <c r="E38" s="17">
        <v>3215</v>
      </c>
      <c r="F38" s="17"/>
      <c r="G38" s="49">
        <f t="shared" si="5"/>
        <v>3215</v>
      </c>
      <c r="H38" s="68">
        <f t="shared" si="5"/>
        <v>3215</v>
      </c>
      <c r="I38" s="68"/>
      <c r="J38" s="62"/>
      <c r="K38" s="68">
        <f t="shared" si="6"/>
        <v>0</v>
      </c>
      <c r="L38" s="68">
        <f t="shared" si="6"/>
        <v>0</v>
      </c>
    </row>
    <row r="39" spans="1:12">
      <c r="A39" s="48" t="s">
        <v>159</v>
      </c>
      <c r="B39" s="15" t="s">
        <v>217</v>
      </c>
      <c r="C39" s="16" t="s">
        <v>218</v>
      </c>
      <c r="D39" s="17">
        <v>1798808</v>
      </c>
      <c r="E39" s="17">
        <v>1798808</v>
      </c>
      <c r="F39" s="17"/>
      <c r="G39" s="49">
        <f t="shared" si="5"/>
        <v>1798808</v>
      </c>
      <c r="H39" s="68">
        <f t="shared" si="5"/>
        <v>1798808</v>
      </c>
      <c r="I39" s="68"/>
      <c r="J39" s="62"/>
      <c r="K39" s="68">
        <f t="shared" si="6"/>
        <v>0</v>
      </c>
      <c r="L39" s="68">
        <f t="shared" si="6"/>
        <v>0</v>
      </c>
    </row>
    <row r="40" spans="1:12" hidden="1">
      <c r="A40" s="48" t="s">
        <v>162</v>
      </c>
      <c r="B40" s="15" t="s">
        <v>219</v>
      </c>
      <c r="C40" s="16" t="s">
        <v>220</v>
      </c>
      <c r="D40" s="17"/>
      <c r="E40" s="17"/>
      <c r="F40" s="17"/>
      <c r="G40" s="49">
        <f t="shared" si="5"/>
        <v>0</v>
      </c>
      <c r="H40" s="68"/>
      <c r="I40" s="68"/>
      <c r="J40" s="62"/>
      <c r="K40" s="68"/>
      <c r="L40" s="68"/>
    </row>
    <row r="41" spans="1:12" hidden="1">
      <c r="A41" s="48" t="s">
        <v>165</v>
      </c>
      <c r="B41" s="15" t="s">
        <v>221</v>
      </c>
      <c r="C41" s="16" t="s">
        <v>222</v>
      </c>
      <c r="D41" s="17"/>
      <c r="E41" s="17"/>
      <c r="F41" s="17"/>
      <c r="G41" s="49">
        <f t="shared" si="5"/>
        <v>0</v>
      </c>
      <c r="H41" s="68"/>
      <c r="I41" s="68"/>
      <c r="J41" s="62"/>
      <c r="K41" s="68"/>
      <c r="L41" s="68"/>
    </row>
    <row r="42" spans="1:12" hidden="1">
      <c r="A42" s="48" t="s">
        <v>193</v>
      </c>
      <c r="B42" s="15" t="s">
        <v>223</v>
      </c>
      <c r="C42" s="16" t="s">
        <v>224</v>
      </c>
      <c r="D42" s="17"/>
      <c r="E42" s="17"/>
      <c r="F42" s="17"/>
      <c r="G42" s="49">
        <f t="shared" si="5"/>
        <v>0</v>
      </c>
      <c r="H42" s="68"/>
      <c r="I42" s="68"/>
      <c r="J42" s="62"/>
      <c r="K42" s="68"/>
      <c r="L42" s="68"/>
    </row>
    <row r="43" spans="1:12" hidden="1">
      <c r="A43" s="48" t="s">
        <v>225</v>
      </c>
      <c r="B43" s="15" t="s">
        <v>226</v>
      </c>
      <c r="C43" s="16" t="s">
        <v>227</v>
      </c>
      <c r="D43" s="17"/>
      <c r="E43" s="17"/>
      <c r="F43" s="17"/>
      <c r="G43" s="49">
        <f t="shared" si="5"/>
        <v>0</v>
      </c>
      <c r="H43" s="68"/>
      <c r="I43" s="68"/>
      <c r="J43" s="62"/>
      <c r="K43" s="68"/>
      <c r="L43" s="68"/>
    </row>
    <row r="44" spans="1:12" hidden="1">
      <c r="A44" s="48" t="s">
        <v>228</v>
      </c>
      <c r="B44" s="15" t="s">
        <v>130</v>
      </c>
      <c r="C44" s="16" t="s">
        <v>229</v>
      </c>
      <c r="D44" s="17"/>
      <c r="E44" s="17"/>
      <c r="F44" s="17"/>
      <c r="G44" s="49">
        <f t="shared" si="5"/>
        <v>0</v>
      </c>
      <c r="H44" s="68"/>
      <c r="I44" s="68"/>
      <c r="J44" s="62"/>
      <c r="K44" s="68"/>
      <c r="L44" s="68"/>
    </row>
    <row r="45" spans="1:12" hidden="1">
      <c r="A45" s="48" t="s">
        <v>230</v>
      </c>
      <c r="B45" s="15" t="s">
        <v>231</v>
      </c>
      <c r="C45" s="16" t="s">
        <v>232</v>
      </c>
      <c r="D45" s="17"/>
      <c r="E45" s="17"/>
      <c r="F45" s="17"/>
      <c r="G45" s="49">
        <f t="shared" si="5"/>
        <v>0</v>
      </c>
      <c r="H45" s="68"/>
      <c r="I45" s="68"/>
      <c r="J45" s="62"/>
      <c r="K45" s="68"/>
      <c r="L45" s="68"/>
    </row>
    <row r="46" spans="1:12">
      <c r="A46" s="48" t="s">
        <v>233</v>
      </c>
      <c r="B46" s="15" t="s">
        <v>234</v>
      </c>
      <c r="C46" s="16" t="s">
        <v>235</v>
      </c>
      <c r="D46" s="17"/>
      <c r="E46" s="17">
        <v>241843</v>
      </c>
      <c r="F46" s="17"/>
      <c r="G46" s="49">
        <f t="shared" si="5"/>
        <v>241843</v>
      </c>
      <c r="H46" s="68">
        <v>114219</v>
      </c>
      <c r="I46" s="68"/>
      <c r="J46" s="62"/>
      <c r="K46" s="68"/>
      <c r="L46" s="68"/>
    </row>
    <row r="47" spans="1:12" hidden="1">
      <c r="A47" s="48" t="s">
        <v>236</v>
      </c>
      <c r="B47" s="15" t="s">
        <v>40</v>
      </c>
      <c r="C47" s="16" t="s">
        <v>237</v>
      </c>
      <c r="D47" s="17"/>
      <c r="E47" s="17"/>
      <c r="F47" s="17"/>
      <c r="G47" s="49">
        <f t="shared" si="5"/>
        <v>0</v>
      </c>
      <c r="H47" s="68"/>
      <c r="I47" s="68"/>
      <c r="J47" s="62"/>
      <c r="K47" s="68"/>
      <c r="L47" s="68"/>
    </row>
    <row r="48" spans="1:12">
      <c r="A48" s="48" t="s">
        <v>238</v>
      </c>
      <c r="B48" s="15" t="s">
        <v>239</v>
      </c>
      <c r="C48" s="16" t="s">
        <v>240</v>
      </c>
      <c r="D48" s="17"/>
      <c r="E48" s="17">
        <v>17260</v>
      </c>
      <c r="F48" s="17"/>
      <c r="G48" s="49">
        <f t="shared" si="5"/>
        <v>17260</v>
      </c>
      <c r="H48" s="68">
        <v>33260</v>
      </c>
      <c r="I48" s="68"/>
      <c r="J48" s="62"/>
      <c r="K48" s="68"/>
      <c r="L48" s="68"/>
    </row>
    <row r="49" spans="1:12">
      <c r="A49" s="48" t="s">
        <v>241</v>
      </c>
      <c r="B49" s="15" t="s">
        <v>242</v>
      </c>
      <c r="C49" s="16" t="s">
        <v>243</v>
      </c>
      <c r="D49" s="17">
        <v>39299</v>
      </c>
      <c r="E49" s="17">
        <v>63638</v>
      </c>
      <c r="F49" s="17"/>
      <c r="G49" s="49">
        <f t="shared" si="5"/>
        <v>63638</v>
      </c>
      <c r="H49" s="68">
        <f t="shared" si="5"/>
        <v>63638</v>
      </c>
      <c r="I49" s="68"/>
      <c r="J49" s="62"/>
      <c r="K49" s="68">
        <f>I49+J49</f>
        <v>0</v>
      </c>
      <c r="L49" s="68">
        <f>J49+K49</f>
        <v>0</v>
      </c>
    </row>
    <row r="50" spans="1:12">
      <c r="A50" s="44" t="s">
        <v>244</v>
      </c>
      <c r="B50" s="10" t="s">
        <v>245</v>
      </c>
      <c r="C50" s="11"/>
      <c r="D50" s="12">
        <f>SUM(D51:D56)</f>
        <v>46773.59</v>
      </c>
      <c r="E50" s="12">
        <f>SUM(E51:E56)</f>
        <v>551630</v>
      </c>
      <c r="F50" s="12">
        <f>SUM(F51:F56)</f>
        <v>0</v>
      </c>
      <c r="G50" s="45">
        <f>E50+F50</f>
        <v>551630</v>
      </c>
      <c r="H50" s="66">
        <f>SUM(H51:H56)</f>
        <v>551630</v>
      </c>
      <c r="I50" s="66">
        <f>SUM(I51:I56)</f>
        <v>0</v>
      </c>
      <c r="J50" s="60">
        <f>SUM(J51:J56)</f>
        <v>0</v>
      </c>
      <c r="K50" s="66">
        <f>SUM(K51:K56)</f>
        <v>0</v>
      </c>
      <c r="L50" s="66">
        <f>SUM(L51:L56)</f>
        <v>0</v>
      </c>
    </row>
    <row r="51" spans="1:12" hidden="1">
      <c r="A51" s="48" t="s">
        <v>171</v>
      </c>
      <c r="B51" s="15" t="s">
        <v>246</v>
      </c>
      <c r="C51" s="16" t="s">
        <v>247</v>
      </c>
      <c r="D51" s="17"/>
      <c r="E51" s="17"/>
      <c r="F51" s="17"/>
      <c r="G51" s="49">
        <f t="shared" si="5"/>
        <v>0</v>
      </c>
      <c r="H51" s="68"/>
      <c r="I51" s="68"/>
      <c r="J51" s="62"/>
      <c r="K51" s="68"/>
      <c r="L51" s="68"/>
    </row>
    <row r="52" spans="1:12">
      <c r="A52" s="48" t="s">
        <v>225</v>
      </c>
      <c r="B52" s="15" t="s">
        <v>248</v>
      </c>
      <c r="C52" s="16" t="s">
        <v>249</v>
      </c>
      <c r="D52" s="17">
        <v>46773.59</v>
      </c>
      <c r="E52" s="17">
        <v>473652</v>
      </c>
      <c r="F52" s="17"/>
      <c r="G52" s="49">
        <f t="shared" si="5"/>
        <v>473652</v>
      </c>
      <c r="H52" s="68">
        <f t="shared" si="5"/>
        <v>473652</v>
      </c>
      <c r="I52" s="68"/>
      <c r="J52" s="62"/>
      <c r="K52" s="68">
        <f>I52+J52</f>
        <v>0</v>
      </c>
      <c r="L52" s="68">
        <f>J52+K52</f>
        <v>0</v>
      </c>
    </row>
    <row r="53" spans="1:12" hidden="1">
      <c r="A53" s="48" t="s">
        <v>228</v>
      </c>
      <c r="B53" s="15" t="s">
        <v>250</v>
      </c>
      <c r="C53" s="16" t="s">
        <v>251</v>
      </c>
      <c r="D53" s="17"/>
      <c r="E53" s="17"/>
      <c r="F53" s="17"/>
      <c r="G53" s="49">
        <f t="shared" si="5"/>
        <v>0</v>
      </c>
      <c r="H53" s="68"/>
      <c r="I53" s="68"/>
      <c r="J53" s="62"/>
      <c r="K53" s="68"/>
      <c r="L53" s="68"/>
    </row>
    <row r="54" spans="1:12" hidden="1">
      <c r="A54" s="48" t="s">
        <v>236</v>
      </c>
      <c r="B54" s="15" t="s">
        <v>252</v>
      </c>
      <c r="C54" s="16" t="s">
        <v>253</v>
      </c>
      <c r="D54" s="17"/>
      <c r="E54" s="17"/>
      <c r="F54" s="17"/>
      <c r="G54" s="49">
        <f t="shared" si="5"/>
        <v>0</v>
      </c>
      <c r="H54" s="68"/>
      <c r="I54" s="68"/>
      <c r="J54" s="62"/>
      <c r="K54" s="68"/>
      <c r="L54" s="68"/>
    </row>
    <row r="55" spans="1:12">
      <c r="A55" s="48" t="s">
        <v>238</v>
      </c>
      <c r="B55" s="15" t="s">
        <v>254</v>
      </c>
      <c r="C55" s="16" t="s">
        <v>255</v>
      </c>
      <c r="D55" s="17"/>
      <c r="E55" s="17"/>
      <c r="F55" s="17"/>
      <c r="G55" s="49">
        <f t="shared" si="5"/>
        <v>0</v>
      </c>
      <c r="H55" s="68">
        <f t="shared" si="5"/>
        <v>0</v>
      </c>
      <c r="I55" s="68"/>
      <c r="J55" s="62"/>
      <c r="K55" s="68">
        <f>I55+J55</f>
        <v>0</v>
      </c>
      <c r="L55" s="68">
        <f>J55+K55</f>
        <v>0</v>
      </c>
    </row>
    <row r="56" spans="1:12" ht="14" thickBot="1">
      <c r="A56" s="51" t="s">
        <v>256</v>
      </c>
      <c r="B56" s="52" t="s">
        <v>257</v>
      </c>
      <c r="C56" s="53" t="s">
        <v>258</v>
      </c>
      <c r="D56" s="54"/>
      <c r="E56" s="54">
        <v>77978</v>
      </c>
      <c r="F56" s="54"/>
      <c r="G56" s="55">
        <f t="shared" si="5"/>
        <v>77978</v>
      </c>
      <c r="H56" s="69">
        <f t="shared" si="5"/>
        <v>77978</v>
      </c>
      <c r="I56" s="69"/>
      <c r="J56" s="63"/>
      <c r="K56" s="69">
        <f>I56+J56</f>
        <v>0</v>
      </c>
      <c r="L56" s="69">
        <f>J56+K56</f>
        <v>0</v>
      </c>
    </row>
    <row r="57" spans="1:12" hidden="1">
      <c r="A57" s="37"/>
      <c r="B57" s="38" t="s">
        <v>259</v>
      </c>
      <c r="C57" s="39"/>
      <c r="D57" s="40">
        <f>D58+D62</f>
        <v>0</v>
      </c>
      <c r="E57" s="40">
        <f>E58+E62</f>
        <v>0</v>
      </c>
      <c r="F57" s="40">
        <f>F58+F62</f>
        <v>0</v>
      </c>
      <c r="G57" s="40">
        <f>E57+F57</f>
        <v>0</v>
      </c>
      <c r="H57" s="40">
        <f>H58+H62</f>
        <v>0</v>
      </c>
      <c r="I57" s="40">
        <f>I58+I62</f>
        <v>0</v>
      </c>
      <c r="J57" s="40">
        <f>J58+J62</f>
        <v>0</v>
      </c>
      <c r="K57" s="40">
        <f>K58+K62</f>
        <v>0</v>
      </c>
      <c r="L57" s="40">
        <f>L58+L62</f>
        <v>0</v>
      </c>
    </row>
    <row r="58" spans="1:12" hidden="1">
      <c r="A58" s="9"/>
      <c r="B58" s="10" t="s">
        <v>260</v>
      </c>
      <c r="C58" s="11"/>
      <c r="D58" s="12">
        <f>SUM(D59:D61)</f>
        <v>0</v>
      </c>
      <c r="E58" s="12">
        <f>SUM(E59:E61)</f>
        <v>0</v>
      </c>
      <c r="F58" s="12">
        <f>SUM(F59:F61)</f>
        <v>0</v>
      </c>
      <c r="G58" s="12">
        <f>E58+F58</f>
        <v>0</v>
      </c>
      <c r="H58" s="12">
        <f>SUM(H59:H61)</f>
        <v>0</v>
      </c>
      <c r="I58" s="12">
        <f>SUM(I59:I61)</f>
        <v>0</v>
      </c>
      <c r="J58" s="12">
        <f>SUM(J59:J61)</f>
        <v>0</v>
      </c>
      <c r="K58" s="12">
        <f>SUM(K59:K61)</f>
        <v>0</v>
      </c>
      <c r="L58" s="12">
        <f>SUM(L59:L61)</f>
        <v>0</v>
      </c>
    </row>
    <row r="59" spans="1:12" hidden="1">
      <c r="A59" s="14"/>
      <c r="B59" s="15" t="s">
        <v>261</v>
      </c>
      <c r="C59" s="16"/>
      <c r="D59" s="17"/>
      <c r="E59" s="17"/>
      <c r="F59" s="17"/>
      <c r="G59" s="18"/>
      <c r="H59" s="17"/>
      <c r="I59" s="17"/>
      <c r="J59" s="17"/>
      <c r="K59" s="17"/>
      <c r="L59" s="17"/>
    </row>
    <row r="60" spans="1:12" hidden="1">
      <c r="A60" s="14"/>
      <c r="B60" s="15" t="s">
        <v>262</v>
      </c>
      <c r="C60" s="16"/>
      <c r="D60" s="17"/>
      <c r="E60" s="17"/>
      <c r="F60" s="17"/>
      <c r="G60" s="18"/>
      <c r="H60" s="17"/>
      <c r="I60" s="17"/>
      <c r="J60" s="17"/>
      <c r="K60" s="17"/>
      <c r="L60" s="17"/>
    </row>
    <row r="61" spans="1:12" hidden="1">
      <c r="A61" s="14"/>
      <c r="B61" s="15" t="s">
        <v>263</v>
      </c>
      <c r="C61" s="16"/>
      <c r="D61" s="17"/>
      <c r="E61" s="17"/>
      <c r="F61" s="17"/>
      <c r="G61" s="18"/>
      <c r="H61" s="17"/>
      <c r="I61" s="17"/>
      <c r="J61" s="17"/>
      <c r="K61" s="17"/>
      <c r="L61" s="17"/>
    </row>
    <row r="62" spans="1:12" hidden="1">
      <c r="A62" s="9"/>
      <c r="B62" s="10" t="s">
        <v>264</v>
      </c>
      <c r="C62" s="11"/>
      <c r="D62" s="12"/>
      <c r="E62" s="12"/>
      <c r="F62" s="12"/>
      <c r="G62" s="18"/>
      <c r="H62" s="12"/>
      <c r="I62" s="12"/>
      <c r="J62" s="12"/>
      <c r="K62" s="12"/>
      <c r="L62" s="12"/>
    </row>
    <row r="63" spans="1:12" hidden="1">
      <c r="A63" s="19"/>
      <c r="B63" s="20"/>
      <c r="C63" s="21"/>
      <c r="D63" s="23"/>
      <c r="E63" s="22"/>
      <c r="F63" s="22"/>
      <c r="G63" s="23"/>
      <c r="H63" s="23"/>
      <c r="I63" s="23"/>
      <c r="J63" s="23"/>
      <c r="K63" s="23"/>
      <c r="L63" s="23"/>
    </row>
    <row r="64" spans="1:12" ht="14" thickBot="1">
      <c r="A64" s="19"/>
      <c r="B64" s="20"/>
      <c r="C64" s="21"/>
      <c r="D64" s="23"/>
      <c r="E64" s="22"/>
      <c r="F64" s="22"/>
      <c r="G64" s="23"/>
      <c r="H64" s="23"/>
      <c r="I64" s="23"/>
      <c r="J64" s="23"/>
      <c r="K64" s="23"/>
      <c r="L64" s="23"/>
    </row>
    <row r="65" spans="1:13">
      <c r="A65" s="81" t="s">
        <v>138</v>
      </c>
      <c r="B65" s="82"/>
      <c r="C65" s="83" t="s">
        <v>139</v>
      </c>
      <c r="D65" s="84" t="s">
        <v>265</v>
      </c>
      <c r="E65" s="85"/>
      <c r="F65" s="85"/>
      <c r="G65" s="102" t="s">
        <v>134</v>
      </c>
      <c r="H65" s="118" t="s">
        <v>135</v>
      </c>
      <c r="I65" s="64">
        <v>2012</v>
      </c>
      <c r="J65" s="58">
        <v>2013</v>
      </c>
      <c r="K65" s="118" t="s">
        <v>135</v>
      </c>
      <c r="L65" s="118" t="s">
        <v>135</v>
      </c>
    </row>
    <row r="66" spans="1:13" s="13" customFormat="1">
      <c r="A66" s="95"/>
      <c r="B66" s="96" t="s">
        <v>266</v>
      </c>
      <c r="C66" s="97"/>
      <c r="D66" s="98">
        <f>D67+D77</f>
        <v>97888846.939999998</v>
      </c>
      <c r="E66" s="99"/>
      <c r="F66" s="99"/>
      <c r="G66" s="100">
        <f t="shared" ref="G66:L66" si="7">G67+G77</f>
        <v>100480108.11</v>
      </c>
      <c r="H66" s="77">
        <f t="shared" si="7"/>
        <v>100368483.14</v>
      </c>
      <c r="I66" s="77">
        <f t="shared" si="7"/>
        <v>0</v>
      </c>
      <c r="J66" s="73">
        <f t="shared" si="7"/>
        <v>0</v>
      </c>
      <c r="K66" s="77">
        <f t="shared" si="7"/>
        <v>0</v>
      </c>
      <c r="L66" s="77">
        <f t="shared" si="7"/>
        <v>0</v>
      </c>
    </row>
    <row r="67" spans="1:13" s="13" customFormat="1">
      <c r="A67" s="46" t="s">
        <v>267</v>
      </c>
      <c r="B67" s="33" t="s">
        <v>268</v>
      </c>
      <c r="C67" s="34"/>
      <c r="D67" s="56">
        <f>D68+D71+D73</f>
        <v>94089981.140000001</v>
      </c>
      <c r="E67" s="57"/>
      <c r="F67" s="57"/>
      <c r="G67" s="71">
        <f t="shared" ref="G67:L67" si="8">G68+G71+G73</f>
        <v>97286167.140000001</v>
      </c>
      <c r="H67" s="78">
        <f t="shared" si="8"/>
        <v>97059164.140000001</v>
      </c>
      <c r="I67" s="78">
        <f t="shared" si="8"/>
        <v>0</v>
      </c>
      <c r="J67" s="74">
        <f t="shared" si="8"/>
        <v>0</v>
      </c>
      <c r="K67" s="78">
        <f t="shared" si="8"/>
        <v>0</v>
      </c>
      <c r="L67" s="78">
        <f t="shared" si="8"/>
        <v>0</v>
      </c>
    </row>
    <row r="68" spans="1:13" s="13" customFormat="1">
      <c r="A68" s="44" t="s">
        <v>145</v>
      </c>
      <c r="B68" s="10" t="s">
        <v>269</v>
      </c>
      <c r="C68" s="11"/>
      <c r="D68" s="25">
        <f>D69+D70</f>
        <v>94089981.140000001</v>
      </c>
      <c r="E68" s="24"/>
      <c r="F68" s="24"/>
      <c r="G68" s="70">
        <f t="shared" ref="G68:L68" si="9">G69+G70</f>
        <v>94089981.140000001</v>
      </c>
      <c r="H68" s="77">
        <f t="shared" si="9"/>
        <v>94089981.140000001</v>
      </c>
      <c r="I68" s="77">
        <f t="shared" si="9"/>
        <v>0</v>
      </c>
      <c r="J68" s="73">
        <f t="shared" si="9"/>
        <v>0</v>
      </c>
      <c r="K68" s="77">
        <f t="shared" si="9"/>
        <v>0</v>
      </c>
      <c r="L68" s="77">
        <f t="shared" si="9"/>
        <v>0</v>
      </c>
    </row>
    <row r="69" spans="1:13" s="13" customFormat="1">
      <c r="A69" s="48" t="s">
        <v>147</v>
      </c>
      <c r="B69" s="26" t="s">
        <v>270</v>
      </c>
      <c r="C69" s="27" t="s">
        <v>271</v>
      </c>
      <c r="D69" s="29">
        <v>94089981.140000001</v>
      </c>
      <c r="E69" s="28"/>
      <c r="F69" s="28"/>
      <c r="G69" s="72">
        <v>94089981.140000001</v>
      </c>
      <c r="H69" s="79">
        <v>94089981.140000001</v>
      </c>
      <c r="I69" s="79"/>
      <c r="J69" s="75"/>
      <c r="K69" s="79"/>
      <c r="L69" s="79"/>
    </row>
    <row r="70" spans="1:13" s="13" customFormat="1" hidden="1">
      <c r="A70" s="48" t="s">
        <v>150</v>
      </c>
      <c r="B70" s="26" t="s">
        <v>272</v>
      </c>
      <c r="C70" s="27" t="s">
        <v>273</v>
      </c>
      <c r="D70" s="25"/>
      <c r="E70" s="24"/>
      <c r="F70" s="24"/>
      <c r="G70" s="70"/>
      <c r="H70" s="77"/>
      <c r="I70" s="77"/>
      <c r="J70" s="73"/>
      <c r="K70" s="77"/>
      <c r="L70" s="77"/>
    </row>
    <row r="71" spans="1:13" s="13" customFormat="1">
      <c r="A71" s="44" t="s">
        <v>274</v>
      </c>
      <c r="B71" s="10" t="s">
        <v>275</v>
      </c>
      <c r="C71" s="11"/>
      <c r="D71" s="25">
        <f>SUM(D72:D72)</f>
        <v>0</v>
      </c>
      <c r="E71" s="24"/>
      <c r="F71" s="24"/>
      <c r="G71" s="70">
        <f t="shared" ref="G71:L71" si="10">SUM(G72:G72)</f>
        <v>0</v>
      </c>
      <c r="H71" s="77">
        <f t="shared" si="10"/>
        <v>0</v>
      </c>
      <c r="I71" s="77">
        <f t="shared" si="10"/>
        <v>0</v>
      </c>
      <c r="J71" s="73">
        <f t="shared" si="10"/>
        <v>0</v>
      </c>
      <c r="K71" s="77">
        <f t="shared" si="10"/>
        <v>0</v>
      </c>
      <c r="L71" s="77">
        <f t="shared" si="10"/>
        <v>0</v>
      </c>
    </row>
    <row r="72" spans="1:13" s="13" customFormat="1" hidden="1">
      <c r="A72" s="48" t="s">
        <v>162</v>
      </c>
      <c r="B72" s="26" t="s">
        <v>276</v>
      </c>
      <c r="C72" s="27" t="s">
        <v>277</v>
      </c>
      <c r="D72" s="25"/>
      <c r="E72" s="24"/>
      <c r="F72" s="24"/>
      <c r="G72" s="70"/>
      <c r="H72" s="77"/>
      <c r="I72" s="77"/>
      <c r="J72" s="73"/>
      <c r="K72" s="77"/>
      <c r="L72" s="77"/>
    </row>
    <row r="73" spans="1:13" s="13" customFormat="1">
      <c r="A73" s="44" t="s">
        <v>278</v>
      </c>
      <c r="B73" s="10" t="s">
        <v>128</v>
      </c>
      <c r="C73" s="11"/>
      <c r="D73" s="25">
        <f>SUM(D74:D76)</f>
        <v>0</v>
      </c>
      <c r="E73" s="24"/>
      <c r="F73" s="24"/>
      <c r="G73" s="70">
        <f t="shared" ref="G73:L73" si="11">SUM(G74:G76)</f>
        <v>3196186</v>
      </c>
      <c r="H73" s="77">
        <f t="shared" si="11"/>
        <v>2969183</v>
      </c>
      <c r="I73" s="77">
        <f t="shared" si="11"/>
        <v>0</v>
      </c>
      <c r="J73" s="73">
        <f t="shared" si="11"/>
        <v>0</v>
      </c>
      <c r="K73" s="77">
        <f t="shared" si="11"/>
        <v>0</v>
      </c>
      <c r="L73" s="77">
        <f t="shared" si="11"/>
        <v>0</v>
      </c>
    </row>
    <row r="74" spans="1:13" s="13" customFormat="1">
      <c r="A74" s="48" t="s">
        <v>147</v>
      </c>
      <c r="B74" s="26" t="s">
        <v>279</v>
      </c>
      <c r="C74" s="27" t="s">
        <v>280</v>
      </c>
      <c r="D74" s="29"/>
      <c r="E74" s="28"/>
      <c r="F74" s="28"/>
      <c r="G74" s="72">
        <v>3196186</v>
      </c>
      <c r="H74" s="79">
        <v>2969183</v>
      </c>
      <c r="I74" s="79"/>
      <c r="J74" s="75"/>
      <c r="K74" s="79"/>
      <c r="L74" s="79"/>
    </row>
    <row r="75" spans="1:13" s="13" customFormat="1" hidden="1">
      <c r="A75" s="48" t="s">
        <v>150</v>
      </c>
      <c r="B75" s="26" t="s">
        <v>281</v>
      </c>
      <c r="C75" s="27" t="s">
        <v>282</v>
      </c>
      <c r="D75" s="25"/>
      <c r="E75" s="24"/>
      <c r="F75" s="24"/>
      <c r="G75" s="70"/>
      <c r="H75" s="77"/>
      <c r="I75" s="77"/>
      <c r="J75" s="73"/>
      <c r="K75" s="77"/>
      <c r="L75" s="77"/>
    </row>
    <row r="76" spans="1:13" s="13" customFormat="1" hidden="1">
      <c r="A76" s="48" t="s">
        <v>153</v>
      </c>
      <c r="B76" s="26" t="s">
        <v>283</v>
      </c>
      <c r="C76" s="27" t="s">
        <v>284</v>
      </c>
      <c r="D76" s="29"/>
      <c r="E76" s="28"/>
      <c r="F76" s="28"/>
      <c r="G76" s="72"/>
      <c r="H76" s="79"/>
      <c r="I76" s="79"/>
      <c r="J76" s="75"/>
      <c r="K76" s="79"/>
      <c r="L76" s="79"/>
    </row>
    <row r="77" spans="1:13" s="13" customFormat="1">
      <c r="A77" s="46" t="s">
        <v>285</v>
      </c>
      <c r="B77" s="33" t="s">
        <v>286</v>
      </c>
      <c r="C77" s="34"/>
      <c r="D77" s="56">
        <f>D78+D80+D82+D85</f>
        <v>3798865.8</v>
      </c>
      <c r="E77" s="57"/>
      <c r="F77" s="57"/>
      <c r="G77" s="71">
        <f t="shared" ref="G77:L77" si="12">G78+G80+G82+G85</f>
        <v>3193940.9699999997</v>
      </c>
      <c r="H77" s="78">
        <f t="shared" si="12"/>
        <v>3309319</v>
      </c>
      <c r="I77" s="78">
        <f t="shared" si="12"/>
        <v>0</v>
      </c>
      <c r="J77" s="74">
        <f t="shared" si="12"/>
        <v>0</v>
      </c>
      <c r="K77" s="78">
        <f t="shared" si="12"/>
        <v>0</v>
      </c>
      <c r="L77" s="78">
        <f t="shared" si="12"/>
        <v>0</v>
      </c>
    </row>
    <row r="78" spans="1:13" s="13" customFormat="1">
      <c r="A78" s="44" t="s">
        <v>145</v>
      </c>
      <c r="B78" s="10" t="s">
        <v>287</v>
      </c>
      <c r="C78" s="11"/>
      <c r="D78" s="25">
        <f>SUM(D79:D79)</f>
        <v>0</v>
      </c>
      <c r="E78" s="24"/>
      <c r="F78" s="24"/>
      <c r="G78" s="70">
        <f t="shared" ref="G78:L78" si="13">SUM(G79:G79)</f>
        <v>0</v>
      </c>
      <c r="H78" s="77">
        <f t="shared" si="13"/>
        <v>0</v>
      </c>
      <c r="I78" s="77">
        <f t="shared" si="13"/>
        <v>0</v>
      </c>
      <c r="J78" s="73">
        <f t="shared" si="13"/>
        <v>0</v>
      </c>
      <c r="K78" s="77">
        <f t="shared" si="13"/>
        <v>0</v>
      </c>
      <c r="L78" s="77">
        <f t="shared" si="13"/>
        <v>0</v>
      </c>
      <c r="M78" s="89"/>
    </row>
    <row r="79" spans="1:13" s="13" customFormat="1" hidden="1">
      <c r="A79" s="48" t="s">
        <v>147</v>
      </c>
      <c r="B79" s="26" t="s">
        <v>288</v>
      </c>
      <c r="C79" s="27" t="s">
        <v>289</v>
      </c>
      <c r="D79" s="25"/>
      <c r="E79" s="24"/>
      <c r="F79" s="24"/>
      <c r="G79" s="70"/>
      <c r="H79" s="77"/>
      <c r="I79" s="77"/>
      <c r="J79" s="73"/>
      <c r="K79" s="77"/>
      <c r="L79" s="77"/>
    </row>
    <row r="80" spans="1:13">
      <c r="A80" s="44" t="s">
        <v>274</v>
      </c>
      <c r="B80" s="10" t="s">
        <v>290</v>
      </c>
      <c r="C80" s="11"/>
      <c r="D80" s="25">
        <f>SUM(D81:D81)</f>
        <v>0</v>
      </c>
      <c r="E80" s="24"/>
      <c r="F80" s="24"/>
      <c r="G80" s="70">
        <f t="shared" ref="G80:L80" si="14">SUM(G81:G81)</f>
        <v>0</v>
      </c>
      <c r="H80" s="77">
        <f t="shared" si="14"/>
        <v>0</v>
      </c>
      <c r="I80" s="77">
        <f t="shared" si="14"/>
        <v>0</v>
      </c>
      <c r="J80" s="73">
        <f t="shared" si="14"/>
        <v>0</v>
      </c>
      <c r="K80" s="77">
        <f t="shared" si="14"/>
        <v>0</v>
      </c>
      <c r="L80" s="77">
        <f t="shared" si="14"/>
        <v>0</v>
      </c>
    </row>
    <row r="81" spans="1:12" hidden="1">
      <c r="A81" s="48" t="s">
        <v>147</v>
      </c>
      <c r="B81" s="26" t="s">
        <v>290</v>
      </c>
      <c r="C81" s="27" t="s">
        <v>291</v>
      </c>
      <c r="D81" s="29"/>
      <c r="E81" s="24"/>
      <c r="F81" s="24"/>
      <c r="G81" s="70"/>
      <c r="H81" s="79"/>
      <c r="I81" s="77"/>
      <c r="J81" s="73"/>
      <c r="K81" s="79"/>
      <c r="L81" s="79"/>
    </row>
    <row r="82" spans="1:12">
      <c r="A82" s="44" t="s">
        <v>292</v>
      </c>
      <c r="B82" s="10" t="s">
        <v>293</v>
      </c>
      <c r="C82" s="11"/>
      <c r="D82" s="25">
        <f>SUM(D83:D84)</f>
        <v>0</v>
      </c>
      <c r="E82" s="24"/>
      <c r="F82" s="24"/>
      <c r="G82" s="70">
        <f t="shared" ref="G82:L82" si="15">SUM(G83:G84)</f>
        <v>0</v>
      </c>
      <c r="H82" s="77">
        <f t="shared" si="15"/>
        <v>0</v>
      </c>
      <c r="I82" s="77">
        <f t="shared" si="15"/>
        <v>0</v>
      </c>
      <c r="J82" s="73">
        <f t="shared" si="15"/>
        <v>0</v>
      </c>
      <c r="K82" s="77">
        <f t="shared" si="15"/>
        <v>0</v>
      </c>
      <c r="L82" s="77">
        <f t="shared" si="15"/>
        <v>0</v>
      </c>
    </row>
    <row r="83" spans="1:12" hidden="1">
      <c r="A83" s="48" t="s">
        <v>147</v>
      </c>
      <c r="B83" s="26" t="s">
        <v>294</v>
      </c>
      <c r="C83" s="16" t="s">
        <v>295</v>
      </c>
      <c r="D83" s="29"/>
      <c r="E83" s="28"/>
      <c r="F83" s="28"/>
      <c r="G83" s="72"/>
      <c r="H83" s="79"/>
      <c r="I83" s="79"/>
      <c r="J83" s="75"/>
      <c r="K83" s="79"/>
      <c r="L83" s="79"/>
    </row>
    <row r="84" spans="1:12" hidden="1">
      <c r="A84" s="48" t="s">
        <v>150</v>
      </c>
      <c r="B84" s="26" t="s">
        <v>296</v>
      </c>
      <c r="C84" s="16" t="s">
        <v>295</v>
      </c>
      <c r="D84" s="25"/>
      <c r="E84" s="24"/>
      <c r="F84" s="24"/>
      <c r="G84" s="70"/>
      <c r="H84" s="77"/>
      <c r="I84" s="77"/>
      <c r="J84" s="73"/>
      <c r="K84" s="77"/>
      <c r="L84" s="77"/>
    </row>
    <row r="85" spans="1:12">
      <c r="A85" s="44" t="s">
        <v>244</v>
      </c>
      <c r="B85" s="10" t="s">
        <v>297</v>
      </c>
      <c r="C85" s="11"/>
      <c r="D85" s="25">
        <f>SUM(D86:D115)</f>
        <v>3798865.8</v>
      </c>
      <c r="E85" s="24"/>
      <c r="F85" s="24"/>
      <c r="G85" s="70">
        <f t="shared" ref="G85:L85" si="16">SUM(G86:G115)</f>
        <v>3193940.9699999997</v>
      </c>
      <c r="H85" s="77">
        <f t="shared" si="16"/>
        <v>3309319</v>
      </c>
      <c r="I85" s="77">
        <f t="shared" si="16"/>
        <v>0</v>
      </c>
      <c r="J85" s="73">
        <f t="shared" si="16"/>
        <v>0</v>
      </c>
      <c r="K85" s="77">
        <f t="shared" si="16"/>
        <v>0</v>
      </c>
      <c r="L85" s="77">
        <f t="shared" si="16"/>
        <v>0</v>
      </c>
    </row>
    <row r="86" spans="1:12" hidden="1">
      <c r="A86" s="48" t="s">
        <v>147</v>
      </c>
      <c r="B86" s="26" t="s">
        <v>298</v>
      </c>
      <c r="C86" s="16" t="s">
        <v>299</v>
      </c>
      <c r="D86" s="910"/>
      <c r="E86" s="87"/>
      <c r="F86" s="87"/>
      <c r="G86" s="911"/>
      <c r="H86" s="77"/>
      <c r="I86" s="77"/>
      <c r="J86" s="73"/>
      <c r="K86" s="77"/>
      <c r="L86" s="77"/>
    </row>
    <row r="87" spans="1:12" hidden="1">
      <c r="A87" s="48" t="s">
        <v>150</v>
      </c>
      <c r="B87" s="26" t="s">
        <v>300</v>
      </c>
      <c r="C87" s="16" t="s">
        <v>301</v>
      </c>
      <c r="D87" s="910"/>
      <c r="E87" s="87"/>
      <c r="F87" s="87"/>
      <c r="G87" s="911"/>
      <c r="H87" s="77"/>
      <c r="I87" s="77"/>
      <c r="J87" s="73"/>
      <c r="K87" s="77"/>
      <c r="L87" s="77"/>
    </row>
    <row r="88" spans="1:12" hidden="1">
      <c r="A88" s="48" t="s">
        <v>153</v>
      </c>
      <c r="B88" s="26" t="s">
        <v>302</v>
      </c>
      <c r="C88" s="16" t="s">
        <v>303</v>
      </c>
      <c r="D88" s="910"/>
      <c r="E88" s="87"/>
      <c r="F88" s="87"/>
      <c r="G88" s="911"/>
      <c r="H88" s="77"/>
      <c r="I88" s="77"/>
      <c r="J88" s="73"/>
      <c r="K88" s="77"/>
      <c r="L88" s="77"/>
    </row>
    <row r="89" spans="1:12" hidden="1">
      <c r="A89" s="48" t="s">
        <v>156</v>
      </c>
      <c r="B89" s="26" t="s">
        <v>304</v>
      </c>
      <c r="C89" s="16" t="s">
        <v>305</v>
      </c>
      <c r="D89" s="910"/>
      <c r="E89" s="87"/>
      <c r="F89" s="87"/>
      <c r="G89" s="911"/>
      <c r="H89" s="77"/>
      <c r="I89" s="77"/>
      <c r="J89" s="73"/>
      <c r="K89" s="77"/>
      <c r="L89" s="77"/>
    </row>
    <row r="90" spans="1:12">
      <c r="A90" s="48" t="s">
        <v>159</v>
      </c>
      <c r="B90" s="26" t="s">
        <v>306</v>
      </c>
      <c r="C90" s="16" t="s">
        <v>307</v>
      </c>
      <c r="D90" s="910">
        <v>1630152.8</v>
      </c>
      <c r="E90" s="87"/>
      <c r="F90" s="87"/>
      <c r="G90" s="911">
        <v>1719110.97</v>
      </c>
      <c r="H90" s="912">
        <v>1968811</v>
      </c>
      <c r="I90" s="77"/>
      <c r="J90" s="73"/>
      <c r="K90" s="912"/>
      <c r="L90" s="912"/>
    </row>
    <row r="91" spans="1:12" hidden="1">
      <c r="A91" s="48" t="s">
        <v>162</v>
      </c>
      <c r="B91" s="26" t="s">
        <v>308</v>
      </c>
      <c r="C91" s="16" t="s">
        <v>309</v>
      </c>
      <c r="D91" s="910"/>
      <c r="E91" s="87"/>
      <c r="F91" s="87"/>
      <c r="G91" s="911"/>
      <c r="H91" s="77"/>
      <c r="I91" s="77"/>
      <c r="J91" s="73"/>
      <c r="K91" s="77"/>
      <c r="L91" s="77"/>
    </row>
    <row r="92" spans="1:12">
      <c r="A92" s="48" t="s">
        <v>168</v>
      </c>
      <c r="B92" s="26" t="s">
        <v>310</v>
      </c>
      <c r="C92" s="16" t="s">
        <v>311</v>
      </c>
      <c r="D92" s="910">
        <v>4530</v>
      </c>
      <c r="E92" s="87"/>
      <c r="F92" s="87"/>
      <c r="G92" s="911">
        <v>12030</v>
      </c>
      <c r="H92" s="912">
        <v>12030</v>
      </c>
      <c r="I92" s="77"/>
      <c r="J92" s="73"/>
      <c r="K92" s="912"/>
      <c r="L92" s="912"/>
    </row>
    <row r="93" spans="1:12" hidden="1">
      <c r="A93" s="48" t="s">
        <v>171</v>
      </c>
      <c r="B93" s="26" t="s">
        <v>312</v>
      </c>
      <c r="C93" s="16" t="s">
        <v>313</v>
      </c>
      <c r="D93" s="910"/>
      <c r="E93" s="87"/>
      <c r="F93" s="87"/>
      <c r="G93" s="911"/>
      <c r="H93" s="77"/>
      <c r="I93" s="77"/>
      <c r="J93" s="73"/>
      <c r="K93" s="77"/>
      <c r="L93" s="77"/>
    </row>
    <row r="94" spans="1:12">
      <c r="A94" s="48" t="s">
        <v>193</v>
      </c>
      <c r="B94" s="26" t="s">
        <v>314</v>
      </c>
      <c r="C94" s="16" t="s">
        <v>315</v>
      </c>
      <c r="D94" s="910">
        <v>328800</v>
      </c>
      <c r="E94" s="87"/>
      <c r="F94" s="87"/>
      <c r="G94" s="911">
        <v>328800</v>
      </c>
      <c r="H94" s="912">
        <v>328800</v>
      </c>
      <c r="I94" s="77"/>
      <c r="J94" s="73"/>
      <c r="K94" s="912"/>
      <c r="L94" s="912"/>
    </row>
    <row r="95" spans="1:12" hidden="1">
      <c r="A95" s="48" t="s">
        <v>225</v>
      </c>
      <c r="B95" s="26" t="s">
        <v>316</v>
      </c>
      <c r="C95" s="16" t="s">
        <v>317</v>
      </c>
      <c r="D95" s="910"/>
      <c r="E95" s="87"/>
      <c r="F95" s="87"/>
      <c r="G95" s="911"/>
      <c r="H95" s="77"/>
      <c r="I95" s="77"/>
      <c r="J95" s="73"/>
      <c r="K95" s="77"/>
      <c r="L95" s="77"/>
    </row>
    <row r="96" spans="1:12">
      <c r="A96" s="48" t="s">
        <v>233</v>
      </c>
      <c r="B96" s="26" t="s">
        <v>318</v>
      </c>
      <c r="C96" s="16" t="s">
        <v>319</v>
      </c>
      <c r="D96" s="910">
        <v>83959</v>
      </c>
      <c r="E96" s="87"/>
      <c r="F96" s="87"/>
      <c r="G96" s="911"/>
      <c r="H96" s="77"/>
      <c r="I96" s="77"/>
      <c r="J96" s="73"/>
      <c r="K96" s="77"/>
      <c r="L96" s="77"/>
    </row>
    <row r="97" spans="1:12" hidden="1">
      <c r="A97" s="48" t="s">
        <v>236</v>
      </c>
      <c r="B97" s="26" t="s">
        <v>320</v>
      </c>
      <c r="C97" s="16" t="s">
        <v>321</v>
      </c>
      <c r="D97" s="910"/>
      <c r="E97" s="87"/>
      <c r="F97" s="87"/>
      <c r="G97" s="911"/>
      <c r="H97" s="77"/>
      <c r="I97" s="77"/>
      <c r="J97" s="73"/>
      <c r="K97" s="77"/>
      <c r="L97" s="77"/>
    </row>
    <row r="98" spans="1:12">
      <c r="A98" s="48" t="s">
        <v>238</v>
      </c>
      <c r="B98" s="26" t="s">
        <v>322</v>
      </c>
      <c r="C98" s="16" t="s">
        <v>227</v>
      </c>
      <c r="D98" s="910">
        <v>33371</v>
      </c>
      <c r="E98" s="87"/>
      <c r="F98" s="87"/>
      <c r="G98" s="911"/>
      <c r="H98" s="77"/>
      <c r="I98" s="77"/>
      <c r="J98" s="73"/>
      <c r="K98" s="77"/>
      <c r="L98" s="77"/>
    </row>
    <row r="99" spans="1:12">
      <c r="A99" s="48" t="s">
        <v>256</v>
      </c>
      <c r="B99" s="26" t="s">
        <v>130</v>
      </c>
      <c r="C99" s="16" t="s">
        <v>229</v>
      </c>
      <c r="D99" s="910">
        <v>1664000</v>
      </c>
      <c r="E99" s="87"/>
      <c r="F99" s="87"/>
      <c r="G99" s="911">
        <v>1064000</v>
      </c>
      <c r="H99" s="912">
        <v>913678</v>
      </c>
      <c r="I99" s="77"/>
      <c r="J99" s="73"/>
      <c r="K99" s="912"/>
      <c r="L99" s="912"/>
    </row>
    <row r="100" spans="1:12">
      <c r="A100" s="48" t="s">
        <v>323</v>
      </c>
      <c r="B100" s="26" t="s">
        <v>231</v>
      </c>
      <c r="C100" s="16" t="s">
        <v>232</v>
      </c>
      <c r="D100" s="910">
        <v>13560</v>
      </c>
      <c r="E100" s="87"/>
      <c r="F100" s="87"/>
      <c r="G100" s="911"/>
      <c r="H100" s="77"/>
      <c r="I100" s="77"/>
      <c r="J100" s="73"/>
      <c r="K100" s="77"/>
      <c r="L100" s="77"/>
    </row>
    <row r="101" spans="1:12">
      <c r="A101" s="48" t="s">
        <v>324</v>
      </c>
      <c r="B101" s="26" t="s">
        <v>234</v>
      </c>
      <c r="C101" s="16" t="s">
        <v>235</v>
      </c>
      <c r="D101" s="910">
        <v>39721</v>
      </c>
      <c r="E101" s="87"/>
      <c r="F101" s="87"/>
      <c r="G101" s="911"/>
      <c r="H101" s="77"/>
      <c r="I101" s="77"/>
      <c r="J101" s="73"/>
      <c r="K101" s="77"/>
      <c r="L101" s="77"/>
    </row>
    <row r="102" spans="1:12" hidden="1">
      <c r="A102" s="48" t="s">
        <v>325</v>
      </c>
      <c r="B102" s="26" t="s">
        <v>40</v>
      </c>
      <c r="C102" s="16" t="s">
        <v>237</v>
      </c>
      <c r="D102" s="910"/>
      <c r="E102" s="87"/>
      <c r="F102" s="87"/>
      <c r="G102" s="911"/>
      <c r="H102" s="77"/>
      <c r="I102" s="77"/>
      <c r="J102" s="73"/>
      <c r="K102" s="77"/>
      <c r="L102" s="77"/>
    </row>
    <row r="103" spans="1:12" hidden="1">
      <c r="A103" s="48" t="s">
        <v>326</v>
      </c>
      <c r="B103" s="26" t="s">
        <v>327</v>
      </c>
      <c r="C103" s="16" t="s">
        <v>328</v>
      </c>
      <c r="D103" s="910"/>
      <c r="E103" s="87"/>
      <c r="F103" s="87"/>
      <c r="G103" s="911"/>
      <c r="H103" s="77"/>
      <c r="I103" s="77"/>
      <c r="J103" s="73"/>
      <c r="K103" s="77"/>
      <c r="L103" s="77"/>
    </row>
    <row r="104" spans="1:12" hidden="1">
      <c r="A104" s="48" t="s">
        <v>329</v>
      </c>
      <c r="B104" s="26" t="s">
        <v>330</v>
      </c>
      <c r="C104" s="16" t="s">
        <v>331</v>
      </c>
      <c r="D104" s="910"/>
      <c r="E104" s="87"/>
      <c r="F104" s="87"/>
      <c r="G104" s="911"/>
      <c r="H104" s="77"/>
      <c r="I104" s="77"/>
      <c r="J104" s="73"/>
      <c r="K104" s="77"/>
      <c r="L104" s="77"/>
    </row>
    <row r="105" spans="1:12" hidden="1">
      <c r="A105" s="48" t="s">
        <v>332</v>
      </c>
      <c r="B105" s="26" t="s">
        <v>333</v>
      </c>
      <c r="C105" s="16" t="s">
        <v>334</v>
      </c>
      <c r="D105" s="910"/>
      <c r="E105" s="87"/>
      <c r="F105" s="87"/>
      <c r="G105" s="911"/>
      <c r="H105" s="77"/>
      <c r="I105" s="77"/>
      <c r="J105" s="73"/>
      <c r="K105" s="77"/>
      <c r="L105" s="77"/>
    </row>
    <row r="106" spans="1:12" hidden="1">
      <c r="A106" s="48" t="s">
        <v>335</v>
      </c>
      <c r="B106" s="26" t="s">
        <v>336</v>
      </c>
      <c r="C106" s="16" t="s">
        <v>337</v>
      </c>
      <c r="D106" s="910"/>
      <c r="E106" s="87"/>
      <c r="F106" s="87"/>
      <c r="G106" s="911"/>
      <c r="H106" s="77"/>
      <c r="I106" s="77"/>
      <c r="J106" s="73"/>
      <c r="K106" s="77"/>
      <c r="L106" s="77"/>
    </row>
    <row r="107" spans="1:12" hidden="1">
      <c r="A107" s="48" t="s">
        <v>338</v>
      </c>
      <c r="B107" s="26" t="s">
        <v>339</v>
      </c>
      <c r="C107" s="16" t="s">
        <v>340</v>
      </c>
      <c r="D107" s="910"/>
      <c r="E107" s="87"/>
      <c r="F107" s="87"/>
      <c r="G107" s="911"/>
      <c r="H107" s="77"/>
      <c r="I107" s="77"/>
      <c r="J107" s="73"/>
      <c r="K107" s="77"/>
      <c r="L107" s="77"/>
    </row>
    <row r="108" spans="1:12" hidden="1">
      <c r="A108" s="48" t="s">
        <v>341</v>
      </c>
      <c r="B108" s="26" t="s">
        <v>342</v>
      </c>
      <c r="C108" s="16" t="s">
        <v>343</v>
      </c>
      <c r="D108" s="910"/>
      <c r="E108" s="87"/>
      <c r="F108" s="87"/>
      <c r="G108" s="911"/>
      <c r="H108" s="77"/>
      <c r="I108" s="77"/>
      <c r="J108" s="73"/>
      <c r="K108" s="77"/>
      <c r="L108" s="77"/>
    </row>
    <row r="109" spans="1:12" hidden="1">
      <c r="A109" s="48" t="s">
        <v>241</v>
      </c>
      <c r="B109" s="26" t="s">
        <v>344</v>
      </c>
      <c r="C109" s="16" t="s">
        <v>345</v>
      </c>
      <c r="D109" s="910"/>
      <c r="E109" s="87"/>
      <c r="F109" s="87"/>
      <c r="G109" s="911"/>
      <c r="H109" s="77"/>
      <c r="I109" s="77"/>
      <c r="J109" s="73"/>
      <c r="K109" s="77"/>
      <c r="L109" s="77"/>
    </row>
    <row r="110" spans="1:12" hidden="1">
      <c r="A110" s="48" t="s">
        <v>346</v>
      </c>
      <c r="B110" s="26" t="s">
        <v>347</v>
      </c>
      <c r="C110" s="16" t="s">
        <v>348</v>
      </c>
      <c r="D110" s="910"/>
      <c r="E110" s="87"/>
      <c r="F110" s="87"/>
      <c r="G110" s="911"/>
      <c r="H110" s="77"/>
      <c r="I110" s="77"/>
      <c r="J110" s="73"/>
      <c r="K110" s="77"/>
      <c r="L110" s="77"/>
    </row>
    <row r="111" spans="1:12">
      <c r="A111" s="48" t="s">
        <v>349</v>
      </c>
      <c r="B111" s="26" t="s">
        <v>350</v>
      </c>
      <c r="C111" s="16" t="s">
        <v>351</v>
      </c>
      <c r="D111" s="910"/>
      <c r="E111" s="87"/>
      <c r="F111" s="87"/>
      <c r="G111" s="911">
        <v>10000</v>
      </c>
      <c r="H111" s="912">
        <v>26000</v>
      </c>
      <c r="I111" s="77"/>
      <c r="J111" s="73"/>
      <c r="K111" s="912"/>
      <c r="L111" s="912"/>
    </row>
    <row r="112" spans="1:12" hidden="1">
      <c r="A112" s="48" t="s">
        <v>352</v>
      </c>
      <c r="B112" s="26" t="s">
        <v>353</v>
      </c>
      <c r="C112" s="16" t="s">
        <v>354</v>
      </c>
      <c r="D112" s="910"/>
      <c r="E112" s="87"/>
      <c r="F112" s="87"/>
      <c r="G112" s="911"/>
      <c r="H112" s="77"/>
      <c r="I112" s="77"/>
      <c r="J112" s="73"/>
      <c r="K112" s="77"/>
      <c r="L112" s="77"/>
    </row>
    <row r="113" spans="1:12" hidden="1">
      <c r="A113" s="48" t="s">
        <v>355</v>
      </c>
      <c r="B113" s="26" t="s">
        <v>356</v>
      </c>
      <c r="C113" s="16" t="s">
        <v>357</v>
      </c>
      <c r="D113" s="910"/>
      <c r="E113" s="87"/>
      <c r="F113" s="87"/>
      <c r="G113" s="911"/>
      <c r="H113" s="77"/>
      <c r="I113" s="77"/>
      <c r="J113" s="73"/>
      <c r="K113" s="77"/>
      <c r="L113" s="77"/>
    </row>
    <row r="114" spans="1:12" hidden="1">
      <c r="A114" s="48" t="s">
        <v>358</v>
      </c>
      <c r="B114" s="26" t="s">
        <v>359</v>
      </c>
      <c r="C114" s="16" t="s">
        <v>360</v>
      </c>
      <c r="D114" s="910"/>
      <c r="E114" s="87"/>
      <c r="F114" s="87"/>
      <c r="G114" s="911"/>
      <c r="H114" s="77"/>
      <c r="I114" s="77"/>
      <c r="J114" s="73"/>
      <c r="K114" s="77"/>
      <c r="L114" s="77"/>
    </row>
    <row r="115" spans="1:12" ht="14" thickBot="1">
      <c r="A115" s="51" t="s">
        <v>361</v>
      </c>
      <c r="B115" s="86" t="s">
        <v>362</v>
      </c>
      <c r="C115" s="53" t="s">
        <v>363</v>
      </c>
      <c r="D115" s="913">
        <v>772</v>
      </c>
      <c r="E115" s="88"/>
      <c r="F115" s="88"/>
      <c r="G115" s="914">
        <v>60000</v>
      </c>
      <c r="H115" s="915">
        <v>60000</v>
      </c>
      <c r="I115" s="80"/>
      <c r="J115" s="76"/>
      <c r="K115" s="915"/>
      <c r="L115" s="915"/>
    </row>
    <row r="116" spans="1:12">
      <c r="A116" s="19"/>
      <c r="B116" s="30"/>
      <c r="C116" s="21"/>
      <c r="D116" s="23"/>
      <c r="E116" s="22"/>
      <c r="F116" s="22"/>
      <c r="G116" s="23"/>
      <c r="H116" s="23"/>
      <c r="I116" s="23"/>
      <c r="J116" s="23"/>
      <c r="K116" s="23"/>
      <c r="L116" s="23"/>
    </row>
    <row r="117" spans="1:12">
      <c r="A117" s="19"/>
      <c r="B117" s="20"/>
      <c r="C117" s="21"/>
      <c r="D117" s="22"/>
      <c r="E117" s="22"/>
      <c r="F117" s="22"/>
      <c r="G117" s="22"/>
      <c r="H117" s="22"/>
      <c r="I117" s="22"/>
      <c r="J117" s="22"/>
      <c r="K117" s="22"/>
      <c r="L117" s="22"/>
    </row>
    <row r="118" spans="1:12">
      <c r="A118" s="19"/>
      <c r="B118" s="20"/>
      <c r="C118" s="21"/>
      <c r="D118" s="22"/>
      <c r="E118" s="22"/>
      <c r="F118" s="22"/>
      <c r="G118" s="22"/>
      <c r="H118" s="22"/>
      <c r="I118" s="22"/>
      <c r="J118" s="22"/>
      <c r="K118" s="22"/>
      <c r="L118" s="22"/>
    </row>
    <row r="119" spans="1:12">
      <c r="A119" s="19"/>
      <c r="B119" s="20"/>
      <c r="C119" s="21"/>
      <c r="D119" s="22"/>
      <c r="E119" s="22"/>
      <c r="F119" s="22"/>
      <c r="G119" s="22"/>
      <c r="H119" s="22"/>
      <c r="I119" s="22"/>
      <c r="J119" s="22"/>
      <c r="K119" s="22"/>
      <c r="L119" s="22"/>
    </row>
    <row r="120" spans="1:12">
      <c r="A120" s="19"/>
      <c r="B120" s="20"/>
      <c r="C120" s="21"/>
      <c r="D120" s="22"/>
      <c r="E120" s="22"/>
      <c r="F120" s="22"/>
      <c r="G120" s="22"/>
      <c r="H120" s="22"/>
      <c r="I120" s="22"/>
      <c r="J120" s="22"/>
      <c r="K120" s="22"/>
      <c r="L120" s="22"/>
    </row>
    <row r="121" spans="1:12">
      <c r="A121" s="19"/>
      <c r="B121" s="20"/>
      <c r="C121" s="21"/>
      <c r="D121" s="22"/>
      <c r="E121" s="22"/>
      <c r="F121" s="22"/>
      <c r="G121" s="22"/>
      <c r="H121" s="22"/>
      <c r="I121" s="22"/>
      <c r="J121" s="22"/>
      <c r="K121" s="22"/>
      <c r="L121" s="22"/>
    </row>
    <row r="122" spans="1:12">
      <c r="A122" s="19"/>
      <c r="B122" s="20"/>
      <c r="C122" s="21"/>
      <c r="D122" s="22"/>
      <c r="E122" s="22"/>
      <c r="F122" s="22"/>
      <c r="G122" s="22"/>
      <c r="H122" s="22"/>
      <c r="I122" s="22"/>
      <c r="J122" s="22"/>
      <c r="K122" s="22"/>
      <c r="L122" s="22"/>
    </row>
    <row r="123" spans="1:12">
      <c r="A123" s="19"/>
      <c r="B123" s="20"/>
      <c r="C123" s="21"/>
      <c r="D123" s="22"/>
      <c r="E123" s="22"/>
      <c r="F123" s="22"/>
      <c r="G123" s="22"/>
      <c r="H123" s="22"/>
      <c r="I123" s="22"/>
      <c r="J123" s="22"/>
      <c r="K123" s="22"/>
      <c r="L123" s="22"/>
    </row>
    <row r="124" spans="1:12">
      <c r="A124" s="19"/>
      <c r="B124" s="20"/>
      <c r="C124" s="21"/>
      <c r="D124" s="22"/>
      <c r="E124" s="22"/>
      <c r="F124" s="22"/>
      <c r="G124" s="22"/>
      <c r="H124" s="22"/>
      <c r="I124" s="22"/>
      <c r="J124" s="22"/>
      <c r="K124" s="22"/>
      <c r="L124" s="22"/>
    </row>
    <row r="125" spans="1:12">
      <c r="A125" s="19"/>
      <c r="B125" s="20"/>
      <c r="C125" s="21"/>
      <c r="D125" s="22"/>
      <c r="E125" s="22"/>
      <c r="F125" s="22"/>
      <c r="G125" s="22"/>
      <c r="H125" s="22"/>
      <c r="I125" s="22"/>
      <c r="J125" s="22"/>
      <c r="K125" s="22"/>
      <c r="L125" s="22"/>
    </row>
    <row r="126" spans="1:12">
      <c r="A126" s="19"/>
      <c r="B126" s="20"/>
      <c r="C126" s="21"/>
      <c r="D126" s="22"/>
      <c r="E126" s="22"/>
      <c r="F126" s="22"/>
      <c r="G126" s="22"/>
      <c r="H126" s="22"/>
      <c r="I126" s="22"/>
      <c r="J126" s="22"/>
      <c r="K126" s="22"/>
      <c r="L126" s="22"/>
    </row>
    <row r="127" spans="1:12">
      <c r="A127" s="19"/>
      <c r="B127" s="20"/>
      <c r="C127" s="21"/>
      <c r="D127" s="22"/>
      <c r="E127" s="22"/>
      <c r="F127" s="22"/>
      <c r="G127" s="22"/>
      <c r="H127" s="22"/>
      <c r="I127" s="22"/>
      <c r="J127" s="22"/>
      <c r="K127" s="22"/>
      <c r="L127" s="22"/>
    </row>
    <row r="128" spans="1:12">
      <c r="A128" s="19"/>
      <c r="B128" s="20"/>
      <c r="C128" s="21"/>
      <c r="D128" s="22"/>
      <c r="E128" s="22"/>
      <c r="F128" s="22"/>
      <c r="G128" s="22"/>
      <c r="H128" s="22"/>
      <c r="I128" s="22"/>
      <c r="J128" s="22"/>
      <c r="K128" s="22"/>
      <c r="L128" s="22"/>
    </row>
    <row r="129" spans="1:12">
      <c r="A129" s="19"/>
      <c r="B129" s="20"/>
      <c r="C129" s="21"/>
      <c r="D129" s="22"/>
      <c r="E129" s="22"/>
      <c r="F129" s="22"/>
      <c r="G129" s="22"/>
      <c r="H129" s="22"/>
      <c r="I129" s="22"/>
      <c r="J129" s="22"/>
      <c r="K129" s="22"/>
      <c r="L129" s="22"/>
    </row>
    <row r="130" spans="1:12">
      <c r="A130" s="19"/>
      <c r="B130" s="20"/>
      <c r="C130" s="21"/>
      <c r="D130" s="22"/>
      <c r="E130" s="22"/>
      <c r="F130" s="22"/>
      <c r="G130" s="22"/>
      <c r="H130" s="22"/>
      <c r="I130" s="22"/>
      <c r="J130" s="22"/>
      <c r="K130" s="22"/>
      <c r="L130" s="22"/>
    </row>
    <row r="131" spans="1:12">
      <c r="A131" s="19"/>
      <c r="B131" s="20"/>
      <c r="C131" s="21"/>
      <c r="D131" s="22"/>
      <c r="E131" s="22"/>
      <c r="F131" s="22"/>
      <c r="G131" s="22"/>
      <c r="H131" s="22"/>
      <c r="I131" s="22"/>
      <c r="J131" s="22"/>
      <c r="K131" s="22"/>
      <c r="L131" s="22"/>
    </row>
    <row r="132" spans="1:12">
      <c r="A132" s="19"/>
      <c r="B132" s="20"/>
      <c r="C132" s="21"/>
      <c r="D132" s="22"/>
      <c r="E132" s="22"/>
      <c r="F132" s="22"/>
      <c r="G132" s="22"/>
      <c r="H132" s="22"/>
      <c r="I132" s="22"/>
      <c r="J132" s="22"/>
      <c r="K132" s="22"/>
      <c r="L132" s="22"/>
    </row>
    <row r="133" spans="1:12">
      <c r="A133" s="19"/>
      <c r="B133" s="20"/>
      <c r="C133" s="21"/>
      <c r="D133" s="22"/>
      <c r="E133" s="22"/>
      <c r="F133" s="22"/>
      <c r="G133" s="22"/>
      <c r="H133" s="22"/>
      <c r="I133" s="22"/>
      <c r="J133" s="22"/>
      <c r="K133" s="22"/>
      <c r="L133" s="22"/>
    </row>
    <row r="134" spans="1:12">
      <c r="A134" s="19"/>
      <c r="B134" s="20"/>
      <c r="C134" s="21"/>
      <c r="D134" s="22"/>
      <c r="E134" s="22"/>
      <c r="F134" s="22"/>
      <c r="G134" s="22"/>
      <c r="H134" s="22"/>
      <c r="I134" s="22"/>
      <c r="J134" s="22"/>
      <c r="K134" s="22"/>
      <c r="L134" s="22"/>
    </row>
    <row r="135" spans="1:12">
      <c r="A135" s="19"/>
      <c r="B135" s="20"/>
      <c r="C135" s="21"/>
      <c r="D135" s="22"/>
      <c r="E135" s="22"/>
      <c r="F135" s="22"/>
      <c r="G135" s="22"/>
      <c r="H135" s="22"/>
      <c r="I135" s="22"/>
      <c r="J135" s="22"/>
      <c r="K135" s="22"/>
      <c r="L135" s="22"/>
    </row>
    <row r="136" spans="1:12">
      <c r="A136" s="19"/>
      <c r="B136" s="20"/>
      <c r="C136" s="21"/>
      <c r="D136" s="22"/>
      <c r="E136" s="22"/>
      <c r="F136" s="22"/>
      <c r="G136" s="22"/>
      <c r="H136" s="22"/>
      <c r="I136" s="22"/>
      <c r="J136" s="22"/>
      <c r="K136" s="22"/>
      <c r="L136" s="22"/>
    </row>
    <row r="137" spans="1:12">
      <c r="A137" s="19"/>
      <c r="B137" s="20"/>
      <c r="C137" s="21"/>
      <c r="D137" s="22"/>
      <c r="E137" s="22"/>
      <c r="F137" s="22"/>
      <c r="G137" s="22"/>
      <c r="H137" s="22"/>
      <c r="I137" s="22"/>
      <c r="J137" s="22"/>
      <c r="K137" s="22"/>
      <c r="L137" s="22"/>
    </row>
    <row r="138" spans="1:12">
      <c r="A138" s="19"/>
      <c r="B138" s="20"/>
      <c r="C138" s="21"/>
      <c r="D138" s="22"/>
      <c r="E138" s="22"/>
      <c r="F138" s="22"/>
      <c r="G138" s="22"/>
      <c r="H138" s="22"/>
      <c r="I138" s="22"/>
      <c r="J138" s="22"/>
      <c r="K138" s="22"/>
      <c r="L138" s="22"/>
    </row>
    <row r="139" spans="1:12">
      <c r="A139" s="19"/>
      <c r="B139" s="20"/>
      <c r="C139" s="21"/>
      <c r="D139" s="22"/>
      <c r="E139" s="22"/>
      <c r="F139" s="22"/>
      <c r="G139" s="22"/>
      <c r="H139" s="22"/>
      <c r="I139" s="22"/>
      <c r="J139" s="22"/>
      <c r="K139" s="22"/>
      <c r="L139" s="22"/>
    </row>
    <row r="140" spans="1:12">
      <c r="A140" s="19"/>
      <c r="B140" s="20"/>
      <c r="C140" s="21"/>
      <c r="D140" s="22"/>
      <c r="E140" s="22"/>
      <c r="F140" s="22"/>
      <c r="G140" s="22"/>
      <c r="H140" s="22"/>
      <c r="I140" s="22"/>
      <c r="J140" s="22"/>
      <c r="K140" s="22"/>
      <c r="L140" s="22"/>
    </row>
    <row r="141" spans="1:12">
      <c r="A141" s="19"/>
      <c r="B141" s="20"/>
      <c r="C141" s="21"/>
      <c r="D141" s="22"/>
      <c r="E141" s="22"/>
      <c r="F141" s="22"/>
      <c r="G141" s="22"/>
      <c r="H141" s="22"/>
      <c r="I141" s="22"/>
      <c r="J141" s="22"/>
      <c r="K141" s="22"/>
      <c r="L141" s="22"/>
    </row>
    <row r="142" spans="1:12">
      <c r="A142" s="19"/>
      <c r="B142" s="20"/>
      <c r="C142" s="21"/>
      <c r="D142" s="22"/>
      <c r="E142" s="22"/>
      <c r="F142" s="22"/>
      <c r="G142" s="22"/>
      <c r="H142" s="22"/>
      <c r="I142" s="22"/>
      <c r="J142" s="22"/>
      <c r="K142" s="22"/>
      <c r="L142" s="22"/>
    </row>
    <row r="143" spans="1:12">
      <c r="A143" s="19"/>
      <c r="B143" s="20"/>
      <c r="C143" s="21"/>
      <c r="D143" s="22"/>
      <c r="E143" s="22"/>
      <c r="F143" s="22"/>
      <c r="G143" s="22"/>
      <c r="H143" s="22"/>
      <c r="I143" s="22"/>
      <c r="J143" s="22"/>
      <c r="K143" s="22"/>
      <c r="L143" s="22"/>
    </row>
    <row r="144" spans="1:12">
      <c r="A144" s="19"/>
      <c r="B144" s="20"/>
      <c r="C144" s="21"/>
      <c r="D144" s="22"/>
      <c r="E144" s="22"/>
      <c r="F144" s="22"/>
      <c r="G144" s="22"/>
      <c r="H144" s="22"/>
      <c r="I144" s="22"/>
      <c r="J144" s="22"/>
      <c r="K144" s="22"/>
      <c r="L144" s="22"/>
    </row>
    <row r="145" spans="1:12">
      <c r="A145" s="19"/>
      <c r="B145" s="20"/>
      <c r="C145" s="21"/>
      <c r="D145" s="22"/>
      <c r="E145" s="22"/>
      <c r="F145" s="22"/>
      <c r="G145" s="22"/>
      <c r="H145" s="22"/>
      <c r="I145" s="22"/>
      <c r="J145" s="22"/>
      <c r="K145" s="22"/>
      <c r="L145" s="22"/>
    </row>
    <row r="146" spans="1:12">
      <c r="A146" s="19"/>
      <c r="B146" s="20"/>
      <c r="C146" s="21"/>
      <c r="D146" s="22"/>
      <c r="E146" s="22"/>
      <c r="F146" s="22"/>
      <c r="G146" s="22"/>
      <c r="H146" s="22"/>
      <c r="I146" s="22"/>
      <c r="J146" s="22"/>
      <c r="K146" s="22"/>
      <c r="L146" s="22"/>
    </row>
    <row r="147" spans="1:12">
      <c r="A147" s="19"/>
      <c r="B147" s="20"/>
      <c r="C147" s="21"/>
      <c r="D147" s="22"/>
      <c r="E147" s="22"/>
      <c r="F147" s="22"/>
      <c r="G147" s="22"/>
      <c r="H147" s="22"/>
      <c r="I147" s="22"/>
      <c r="J147" s="22"/>
      <c r="K147" s="22"/>
      <c r="L147" s="22"/>
    </row>
    <row r="148" spans="1:12">
      <c r="A148" s="19"/>
      <c r="B148" s="20"/>
      <c r="C148" s="21"/>
      <c r="D148" s="22"/>
      <c r="E148" s="22"/>
      <c r="F148" s="22"/>
      <c r="G148" s="22"/>
      <c r="H148" s="22"/>
      <c r="I148" s="22"/>
      <c r="J148" s="22"/>
      <c r="K148" s="22"/>
      <c r="L148" s="22"/>
    </row>
    <row r="149" spans="1:12">
      <c r="A149" s="19"/>
      <c r="B149" s="20"/>
      <c r="C149" s="21"/>
      <c r="D149" s="22"/>
      <c r="E149" s="22"/>
      <c r="F149" s="22"/>
      <c r="G149" s="22"/>
      <c r="H149" s="22"/>
      <c r="I149" s="22"/>
      <c r="J149" s="22"/>
      <c r="K149" s="22"/>
      <c r="L149" s="22"/>
    </row>
    <row r="150" spans="1:12">
      <c r="A150" s="19"/>
      <c r="B150" s="20"/>
      <c r="C150" s="21"/>
      <c r="D150" s="22"/>
      <c r="E150" s="22"/>
      <c r="F150" s="22"/>
      <c r="G150" s="22"/>
      <c r="H150" s="22"/>
      <c r="I150" s="22"/>
      <c r="J150" s="22"/>
      <c r="K150" s="22"/>
      <c r="L150" s="22"/>
    </row>
    <row r="151" spans="1:12">
      <c r="A151" s="19"/>
      <c r="B151" s="20"/>
      <c r="C151" s="21"/>
      <c r="D151" s="22"/>
      <c r="E151" s="22"/>
      <c r="F151" s="22"/>
      <c r="G151" s="22"/>
      <c r="H151" s="22"/>
      <c r="I151" s="22"/>
      <c r="J151" s="22"/>
      <c r="K151" s="22"/>
      <c r="L151" s="22"/>
    </row>
    <row r="152" spans="1:12">
      <c r="A152" s="19"/>
      <c r="B152" s="20"/>
      <c r="C152" s="21"/>
      <c r="D152" s="22"/>
      <c r="E152" s="22"/>
      <c r="F152" s="22"/>
      <c r="G152" s="22"/>
      <c r="H152" s="22"/>
      <c r="I152" s="22"/>
      <c r="J152" s="22"/>
      <c r="K152" s="22"/>
      <c r="L152" s="22"/>
    </row>
    <row r="153" spans="1:12">
      <c r="A153" s="19"/>
      <c r="B153" s="20"/>
      <c r="C153" s="21"/>
      <c r="D153" s="22"/>
      <c r="E153" s="22"/>
      <c r="F153" s="22"/>
      <c r="G153" s="22"/>
      <c r="H153" s="22"/>
      <c r="I153" s="22"/>
      <c r="J153" s="22"/>
      <c r="K153" s="22"/>
      <c r="L153" s="22"/>
    </row>
    <row r="154" spans="1:12">
      <c r="A154" s="19"/>
      <c r="B154" s="20"/>
      <c r="C154" s="21"/>
      <c r="D154" s="22"/>
      <c r="E154" s="22"/>
      <c r="F154" s="22"/>
      <c r="G154" s="22"/>
      <c r="H154" s="22"/>
      <c r="I154" s="22"/>
      <c r="J154" s="22"/>
      <c r="K154" s="22"/>
      <c r="L154" s="22"/>
    </row>
    <row r="155" spans="1:12">
      <c r="A155" s="19"/>
      <c r="B155" s="20"/>
      <c r="C155" s="21"/>
      <c r="D155" s="22"/>
      <c r="E155" s="22"/>
      <c r="F155" s="22"/>
      <c r="G155" s="22"/>
      <c r="H155" s="22"/>
      <c r="I155" s="22"/>
      <c r="J155" s="22"/>
      <c r="K155" s="22"/>
      <c r="L155" s="22"/>
    </row>
    <row r="156" spans="1:12">
      <c r="A156" s="19"/>
      <c r="B156" s="20"/>
      <c r="C156" s="21"/>
      <c r="D156" s="22"/>
      <c r="E156" s="22"/>
      <c r="F156" s="22"/>
      <c r="G156" s="22"/>
      <c r="H156" s="22"/>
      <c r="I156" s="22"/>
      <c r="J156" s="22"/>
      <c r="K156" s="22"/>
      <c r="L156" s="22"/>
    </row>
    <row r="157" spans="1:12">
      <c r="A157" s="19"/>
      <c r="B157" s="20"/>
      <c r="C157" s="21"/>
      <c r="D157" s="22"/>
      <c r="E157" s="22"/>
      <c r="F157" s="22"/>
      <c r="G157" s="22"/>
      <c r="H157" s="22"/>
      <c r="I157" s="22"/>
      <c r="J157" s="22"/>
      <c r="K157" s="22"/>
      <c r="L157" s="22"/>
    </row>
    <row r="158" spans="1:12">
      <c r="A158" s="19"/>
      <c r="B158" s="20"/>
      <c r="C158" s="21"/>
      <c r="D158" s="22"/>
      <c r="E158" s="22"/>
      <c r="F158" s="22"/>
      <c r="G158" s="22"/>
      <c r="H158" s="22"/>
      <c r="I158" s="22"/>
      <c r="J158" s="22"/>
      <c r="K158" s="22"/>
      <c r="L158" s="22"/>
    </row>
    <row r="159" spans="1:12">
      <c r="A159" s="19"/>
      <c r="B159" s="20"/>
      <c r="C159" s="21"/>
      <c r="D159" s="22"/>
      <c r="E159" s="22"/>
      <c r="F159" s="22"/>
      <c r="G159" s="22"/>
      <c r="H159" s="22"/>
      <c r="I159" s="22"/>
      <c r="J159" s="22"/>
      <c r="K159" s="22"/>
      <c r="L159" s="22"/>
    </row>
    <row r="160" spans="1:12">
      <c r="A160" s="19"/>
      <c r="B160" s="20"/>
      <c r="C160" s="21"/>
      <c r="D160" s="22"/>
      <c r="E160" s="22"/>
      <c r="F160" s="22"/>
      <c r="G160" s="22"/>
      <c r="H160" s="22"/>
      <c r="I160" s="22"/>
      <c r="J160" s="22"/>
      <c r="K160" s="22"/>
      <c r="L160" s="22"/>
    </row>
    <row r="161" spans="1:12">
      <c r="A161" s="19"/>
      <c r="B161" s="20"/>
      <c r="C161" s="21"/>
      <c r="D161" s="22"/>
      <c r="E161" s="22"/>
      <c r="F161" s="22"/>
      <c r="G161" s="22"/>
      <c r="H161" s="22"/>
      <c r="I161" s="22"/>
      <c r="J161" s="22"/>
      <c r="K161" s="22"/>
      <c r="L161" s="22"/>
    </row>
    <row r="162" spans="1:12">
      <c r="A162" s="19"/>
      <c r="B162" s="20"/>
      <c r="C162" s="21"/>
      <c r="D162" s="22"/>
      <c r="E162" s="22"/>
      <c r="F162" s="22"/>
      <c r="G162" s="22"/>
      <c r="H162" s="22"/>
      <c r="I162" s="22"/>
      <c r="J162" s="22"/>
      <c r="K162" s="22"/>
      <c r="L162" s="22"/>
    </row>
    <row r="163" spans="1:12">
      <c r="A163" s="19"/>
      <c r="B163" s="20"/>
      <c r="C163" s="21"/>
      <c r="D163" s="22"/>
      <c r="E163" s="22"/>
      <c r="F163" s="22"/>
      <c r="G163" s="22"/>
      <c r="H163" s="22"/>
      <c r="I163" s="22"/>
      <c r="J163" s="22"/>
      <c r="K163" s="22"/>
      <c r="L163" s="22"/>
    </row>
    <row r="164" spans="1:12">
      <c r="A164" s="19"/>
      <c r="B164" s="20"/>
      <c r="C164" s="21"/>
      <c r="D164" s="22"/>
      <c r="E164" s="22"/>
      <c r="F164" s="22"/>
      <c r="G164" s="22"/>
      <c r="H164" s="22"/>
      <c r="I164" s="22"/>
      <c r="J164" s="22"/>
      <c r="K164" s="22"/>
      <c r="L164" s="22"/>
    </row>
    <row r="165" spans="1:12">
      <c r="A165" s="19"/>
      <c r="B165" s="20"/>
      <c r="C165" s="21"/>
      <c r="D165" s="22"/>
      <c r="E165" s="22"/>
      <c r="F165" s="22"/>
      <c r="G165" s="22"/>
      <c r="H165" s="22"/>
      <c r="I165" s="22"/>
      <c r="J165" s="22"/>
      <c r="K165" s="22"/>
      <c r="L165" s="22"/>
    </row>
    <row r="166" spans="1:12">
      <c r="A166" s="19"/>
      <c r="B166" s="20"/>
      <c r="C166" s="21"/>
      <c r="D166" s="22"/>
      <c r="E166" s="22"/>
      <c r="F166" s="22"/>
      <c r="G166" s="22"/>
      <c r="H166" s="22"/>
      <c r="I166" s="22"/>
      <c r="J166" s="22"/>
      <c r="K166" s="22"/>
      <c r="L166" s="22"/>
    </row>
    <row r="167" spans="1:12">
      <c r="A167" s="19"/>
      <c r="B167" s="20"/>
      <c r="C167" s="21"/>
      <c r="D167" s="22"/>
      <c r="E167" s="22"/>
      <c r="F167" s="22"/>
      <c r="G167" s="22"/>
      <c r="H167" s="22"/>
      <c r="I167" s="22"/>
      <c r="J167" s="22"/>
      <c r="K167" s="22"/>
      <c r="L167" s="22"/>
    </row>
    <row r="168" spans="1:12">
      <c r="A168" s="19"/>
      <c r="B168" s="20"/>
      <c r="C168" s="21"/>
      <c r="D168" s="22"/>
      <c r="E168" s="22"/>
      <c r="F168" s="22"/>
      <c r="G168" s="22"/>
      <c r="H168" s="22"/>
      <c r="I168" s="22"/>
      <c r="J168" s="22"/>
      <c r="K168" s="22"/>
      <c r="L168" s="22"/>
    </row>
    <row r="169" spans="1:12">
      <c r="A169" s="19"/>
      <c r="B169" s="20"/>
      <c r="C169" s="21"/>
      <c r="D169" s="22"/>
      <c r="E169" s="22"/>
      <c r="F169" s="22"/>
      <c r="G169" s="22"/>
      <c r="H169" s="22"/>
      <c r="I169" s="22"/>
      <c r="J169" s="22"/>
      <c r="K169" s="22"/>
      <c r="L169" s="22"/>
    </row>
    <row r="170" spans="1:12">
      <c r="A170" s="19"/>
      <c r="B170" s="20"/>
      <c r="C170" s="21"/>
      <c r="D170" s="22"/>
      <c r="E170" s="22"/>
      <c r="F170" s="22"/>
      <c r="G170" s="22"/>
      <c r="H170" s="22"/>
      <c r="I170" s="22"/>
      <c r="J170" s="22"/>
      <c r="K170" s="22"/>
      <c r="L170" s="22"/>
    </row>
    <row r="171" spans="1:12">
      <c r="A171" s="19"/>
      <c r="B171" s="20"/>
      <c r="C171" s="21"/>
      <c r="D171" s="22"/>
      <c r="E171" s="22"/>
      <c r="F171" s="22"/>
      <c r="G171" s="22"/>
      <c r="H171" s="22"/>
      <c r="I171" s="22"/>
      <c r="J171" s="22"/>
      <c r="K171" s="22"/>
      <c r="L171" s="22"/>
    </row>
    <row r="172" spans="1:12">
      <c r="A172" s="19"/>
      <c r="B172" s="20"/>
      <c r="C172" s="21"/>
      <c r="D172" s="22"/>
      <c r="E172" s="22"/>
      <c r="F172" s="22"/>
      <c r="G172" s="22"/>
      <c r="H172" s="22"/>
      <c r="I172" s="22"/>
      <c r="J172" s="22"/>
      <c r="K172" s="22"/>
      <c r="L172" s="22"/>
    </row>
    <row r="173" spans="1:12">
      <c r="A173" s="19"/>
      <c r="B173" s="20"/>
      <c r="C173" s="21"/>
      <c r="D173" s="22"/>
      <c r="E173" s="22"/>
      <c r="F173" s="22"/>
      <c r="G173" s="22"/>
      <c r="H173" s="22"/>
      <c r="I173" s="22"/>
      <c r="J173" s="22"/>
      <c r="K173" s="22"/>
      <c r="L173" s="22"/>
    </row>
    <row r="174" spans="1:12">
      <c r="A174" s="19"/>
      <c r="B174" s="20"/>
      <c r="C174" s="21"/>
      <c r="D174" s="22"/>
      <c r="E174" s="22"/>
      <c r="F174" s="22"/>
      <c r="G174" s="22"/>
      <c r="H174" s="22"/>
      <c r="I174" s="22"/>
      <c r="J174" s="22"/>
      <c r="K174" s="22"/>
      <c r="L174" s="22"/>
    </row>
    <row r="175" spans="1:12">
      <c r="A175" s="19"/>
      <c r="B175" s="20"/>
      <c r="C175" s="21"/>
      <c r="D175" s="22"/>
      <c r="E175" s="22"/>
      <c r="F175" s="22"/>
      <c r="G175" s="22"/>
      <c r="H175" s="22"/>
      <c r="I175" s="22"/>
      <c r="J175" s="22"/>
      <c r="K175" s="22"/>
      <c r="L175" s="22"/>
    </row>
    <row r="176" spans="1:12">
      <c r="A176" s="19"/>
      <c r="B176" s="20"/>
      <c r="C176" s="21"/>
      <c r="D176" s="22"/>
      <c r="E176" s="22"/>
      <c r="F176" s="22"/>
      <c r="G176" s="22"/>
      <c r="H176" s="22"/>
      <c r="I176" s="22"/>
      <c r="J176" s="22"/>
      <c r="K176" s="22"/>
      <c r="L176" s="22"/>
    </row>
    <row r="177" spans="1:12">
      <c r="A177" s="19"/>
      <c r="B177" s="20"/>
      <c r="C177" s="21"/>
      <c r="D177" s="22"/>
      <c r="E177" s="22"/>
      <c r="F177" s="22"/>
      <c r="G177" s="22"/>
      <c r="H177" s="22"/>
      <c r="I177" s="22"/>
      <c r="J177" s="22"/>
      <c r="K177" s="22"/>
      <c r="L177" s="22"/>
    </row>
    <row r="178" spans="1:12">
      <c r="A178" s="19"/>
      <c r="B178" s="20"/>
      <c r="C178" s="21"/>
      <c r="D178" s="22"/>
      <c r="E178" s="22"/>
      <c r="F178" s="22"/>
      <c r="G178" s="22"/>
      <c r="H178" s="22"/>
      <c r="I178" s="22"/>
      <c r="J178" s="22"/>
      <c r="K178" s="22"/>
      <c r="L178" s="22"/>
    </row>
    <row r="179" spans="1:12">
      <c r="A179" s="19"/>
      <c r="B179" s="20"/>
      <c r="C179" s="21"/>
      <c r="D179" s="22"/>
      <c r="E179" s="22"/>
      <c r="F179" s="22"/>
      <c r="G179" s="22"/>
      <c r="H179" s="22"/>
      <c r="I179" s="22"/>
      <c r="J179" s="22"/>
      <c r="K179" s="22"/>
      <c r="L179" s="22"/>
    </row>
    <row r="180" spans="1:12">
      <c r="A180" s="19"/>
      <c r="B180" s="20"/>
      <c r="C180" s="21"/>
      <c r="D180" s="22"/>
      <c r="E180" s="22"/>
      <c r="F180" s="22"/>
      <c r="G180" s="22"/>
      <c r="H180" s="22"/>
      <c r="I180" s="22"/>
      <c r="J180" s="22"/>
      <c r="K180" s="22"/>
      <c r="L180" s="22"/>
    </row>
    <row r="181" spans="1:12">
      <c r="A181" s="19"/>
      <c r="B181" s="20"/>
      <c r="C181" s="21"/>
      <c r="D181" s="22"/>
      <c r="E181" s="22"/>
      <c r="F181" s="22"/>
      <c r="G181" s="22"/>
      <c r="H181" s="22"/>
      <c r="I181" s="22"/>
      <c r="J181" s="22"/>
      <c r="K181" s="22"/>
      <c r="L181" s="22"/>
    </row>
    <row r="182" spans="1:12">
      <c r="A182" s="19"/>
      <c r="B182" s="20"/>
      <c r="C182" s="21"/>
      <c r="D182" s="22"/>
      <c r="E182" s="22"/>
      <c r="F182" s="22"/>
      <c r="G182" s="22"/>
      <c r="H182" s="22"/>
      <c r="I182" s="22"/>
      <c r="J182" s="22"/>
      <c r="K182" s="22"/>
      <c r="L182" s="22"/>
    </row>
    <row r="183" spans="1:12">
      <c r="A183" s="19"/>
      <c r="B183" s="20"/>
      <c r="C183" s="21"/>
      <c r="D183" s="22"/>
      <c r="E183" s="22"/>
      <c r="F183" s="22"/>
      <c r="G183" s="22"/>
      <c r="H183" s="22"/>
      <c r="I183" s="22"/>
      <c r="J183" s="22"/>
      <c r="K183" s="22"/>
      <c r="L183" s="22"/>
    </row>
    <row r="184" spans="1:12">
      <c r="A184" s="19"/>
      <c r="B184" s="20"/>
      <c r="C184" s="21"/>
      <c r="D184" s="22"/>
      <c r="E184" s="22"/>
      <c r="F184" s="22"/>
      <c r="G184" s="22"/>
      <c r="H184" s="22"/>
      <c r="I184" s="22"/>
      <c r="J184" s="22"/>
      <c r="K184" s="22"/>
      <c r="L184" s="22"/>
    </row>
    <row r="185" spans="1:12">
      <c r="A185" s="19"/>
      <c r="B185" s="20"/>
      <c r="C185" s="21"/>
      <c r="D185" s="22"/>
      <c r="E185" s="22"/>
      <c r="F185" s="22"/>
      <c r="G185" s="22"/>
      <c r="H185" s="22"/>
      <c r="I185" s="22"/>
      <c r="J185" s="22"/>
      <c r="K185" s="22"/>
      <c r="L185" s="22"/>
    </row>
    <row r="186" spans="1:12">
      <c r="A186" s="19"/>
      <c r="B186" s="20"/>
      <c r="C186" s="21"/>
      <c r="D186" s="22"/>
      <c r="E186" s="22"/>
      <c r="F186" s="22"/>
      <c r="G186" s="22"/>
      <c r="H186" s="22"/>
      <c r="I186" s="22"/>
      <c r="J186" s="22"/>
      <c r="K186" s="22"/>
      <c r="L186" s="22"/>
    </row>
    <row r="187" spans="1:12">
      <c r="A187" s="19"/>
      <c r="B187" s="20"/>
      <c r="C187" s="21"/>
      <c r="D187" s="22"/>
      <c r="E187" s="22"/>
      <c r="F187" s="22"/>
      <c r="G187" s="22"/>
      <c r="H187" s="22"/>
      <c r="I187" s="22"/>
      <c r="J187" s="22"/>
      <c r="K187" s="22"/>
      <c r="L187" s="22"/>
    </row>
    <row r="188" spans="1:12">
      <c r="A188" s="19"/>
      <c r="B188" s="20"/>
      <c r="C188" s="21"/>
      <c r="D188" s="22"/>
      <c r="E188" s="22"/>
      <c r="F188" s="22"/>
      <c r="G188" s="22"/>
      <c r="H188" s="22"/>
      <c r="I188" s="22"/>
      <c r="J188" s="22"/>
      <c r="K188" s="22"/>
      <c r="L188" s="22"/>
    </row>
    <row r="189" spans="1:12">
      <c r="A189" s="19"/>
      <c r="B189" s="20"/>
      <c r="C189" s="21"/>
      <c r="D189" s="22"/>
      <c r="E189" s="22"/>
      <c r="F189" s="22"/>
      <c r="G189" s="22"/>
      <c r="H189" s="22"/>
      <c r="I189" s="22"/>
      <c r="J189" s="22"/>
      <c r="K189" s="22"/>
      <c r="L189" s="22"/>
    </row>
    <row r="190" spans="1:12">
      <c r="A190" s="19"/>
      <c r="B190" s="20"/>
      <c r="C190" s="21"/>
      <c r="D190" s="22"/>
      <c r="E190" s="22"/>
      <c r="F190" s="22"/>
      <c r="G190" s="22"/>
      <c r="H190" s="22"/>
      <c r="I190" s="22"/>
      <c r="J190" s="22"/>
      <c r="K190" s="22"/>
      <c r="L190" s="22"/>
    </row>
    <row r="191" spans="1:12">
      <c r="A191" s="19"/>
      <c r="B191" s="20"/>
      <c r="C191" s="21"/>
      <c r="D191" s="22"/>
      <c r="E191" s="22"/>
      <c r="F191" s="22"/>
      <c r="G191" s="22"/>
      <c r="H191" s="22"/>
      <c r="I191" s="22"/>
      <c r="J191" s="22"/>
      <c r="K191" s="22"/>
      <c r="L191" s="22"/>
    </row>
    <row r="192" spans="1:12">
      <c r="A192" s="19"/>
      <c r="B192" s="20"/>
      <c r="C192" s="21"/>
      <c r="D192" s="22"/>
      <c r="E192" s="22"/>
      <c r="F192" s="22"/>
      <c r="G192" s="22"/>
      <c r="H192" s="22"/>
      <c r="I192" s="22"/>
      <c r="J192" s="22"/>
      <c r="K192" s="22"/>
      <c r="L192" s="22"/>
    </row>
    <row r="193" spans="1:12">
      <c r="A193" s="19"/>
      <c r="B193" s="20"/>
      <c r="C193" s="21"/>
      <c r="D193" s="22"/>
      <c r="E193" s="22"/>
      <c r="F193" s="22"/>
      <c r="G193" s="22"/>
      <c r="H193" s="22"/>
      <c r="I193" s="22"/>
      <c r="J193" s="22"/>
      <c r="K193" s="22"/>
      <c r="L193" s="22"/>
    </row>
    <row r="194" spans="1:12">
      <c r="A194" s="19"/>
      <c r="B194" s="20"/>
      <c r="C194" s="21"/>
      <c r="D194" s="22"/>
      <c r="E194" s="22"/>
      <c r="F194" s="22"/>
      <c r="G194" s="22"/>
      <c r="H194" s="22"/>
      <c r="I194" s="22"/>
      <c r="J194" s="22"/>
      <c r="K194" s="22"/>
      <c r="L194" s="22"/>
    </row>
    <row r="195" spans="1:12">
      <c r="A195" s="19"/>
      <c r="B195" s="20"/>
      <c r="C195" s="21"/>
      <c r="D195" s="22"/>
      <c r="E195" s="22"/>
      <c r="F195" s="22"/>
      <c r="G195" s="22"/>
      <c r="H195" s="22"/>
      <c r="I195" s="22"/>
      <c r="J195" s="22"/>
      <c r="K195" s="22"/>
      <c r="L195" s="22"/>
    </row>
    <row r="196" spans="1:12">
      <c r="A196" s="19"/>
      <c r="B196" s="20"/>
      <c r="C196" s="21"/>
      <c r="D196" s="22"/>
      <c r="E196" s="22"/>
      <c r="F196" s="22"/>
      <c r="G196" s="22"/>
      <c r="H196" s="22"/>
      <c r="I196" s="22"/>
      <c r="J196" s="22"/>
      <c r="K196" s="22"/>
      <c r="L196" s="22"/>
    </row>
    <row r="197" spans="1:12">
      <c r="A197" s="19"/>
      <c r="B197" s="20"/>
      <c r="C197" s="21"/>
      <c r="D197" s="22"/>
      <c r="E197" s="22"/>
      <c r="F197" s="22"/>
      <c r="G197" s="22"/>
      <c r="H197" s="22"/>
      <c r="I197" s="22"/>
      <c r="J197" s="22"/>
      <c r="K197" s="22"/>
      <c r="L197" s="22"/>
    </row>
    <row r="198" spans="1:12">
      <c r="A198" s="19"/>
      <c r="B198" s="20"/>
      <c r="C198" s="21"/>
      <c r="D198" s="22"/>
      <c r="E198" s="22"/>
      <c r="F198" s="22"/>
      <c r="G198" s="22"/>
      <c r="H198" s="22"/>
      <c r="I198" s="22"/>
      <c r="J198" s="22"/>
      <c r="K198" s="22"/>
      <c r="L198" s="22"/>
    </row>
    <row r="199" spans="1:12">
      <c r="A199" s="19"/>
      <c r="B199" s="20"/>
      <c r="C199" s="21"/>
      <c r="D199" s="22"/>
      <c r="E199" s="22"/>
      <c r="F199" s="22"/>
      <c r="G199" s="22"/>
      <c r="H199" s="22"/>
      <c r="I199" s="22"/>
      <c r="J199" s="22"/>
      <c r="K199" s="22"/>
      <c r="L199" s="22"/>
    </row>
    <row r="200" spans="1:12">
      <c r="A200" s="19"/>
      <c r="B200" s="20"/>
      <c r="C200" s="21"/>
      <c r="D200" s="22"/>
      <c r="E200" s="22"/>
      <c r="F200" s="22"/>
      <c r="G200" s="22"/>
      <c r="H200" s="22"/>
      <c r="I200" s="22"/>
      <c r="J200" s="22"/>
      <c r="K200" s="22"/>
      <c r="L200" s="22"/>
    </row>
    <row r="201" spans="1:12">
      <c r="A201" s="19"/>
      <c r="B201" s="20"/>
      <c r="C201" s="21"/>
      <c r="D201" s="22"/>
      <c r="E201" s="22"/>
      <c r="F201" s="22"/>
      <c r="G201" s="22"/>
      <c r="H201" s="22"/>
      <c r="I201" s="22"/>
      <c r="J201" s="22"/>
      <c r="K201" s="22"/>
      <c r="L201" s="22"/>
    </row>
    <row r="202" spans="1:12">
      <c r="A202" s="19"/>
      <c r="B202" s="20"/>
      <c r="C202" s="21"/>
      <c r="D202" s="22"/>
      <c r="E202" s="22"/>
      <c r="F202" s="22"/>
      <c r="G202" s="22"/>
      <c r="H202" s="22"/>
      <c r="I202" s="22"/>
      <c r="J202" s="22"/>
      <c r="K202" s="22"/>
      <c r="L202" s="22"/>
    </row>
    <row r="203" spans="1:12">
      <c r="A203" s="19"/>
      <c r="B203" s="20"/>
      <c r="C203" s="21"/>
      <c r="D203" s="22"/>
      <c r="E203" s="22"/>
      <c r="F203" s="22"/>
      <c r="G203" s="22"/>
      <c r="H203" s="22"/>
      <c r="I203" s="22"/>
      <c r="J203" s="22"/>
      <c r="K203" s="22"/>
      <c r="L203" s="22"/>
    </row>
    <row r="204" spans="1:12">
      <c r="A204" s="19"/>
      <c r="B204" s="20"/>
      <c r="C204" s="21"/>
      <c r="D204" s="22"/>
      <c r="E204" s="22"/>
      <c r="F204" s="22"/>
      <c r="G204" s="22"/>
      <c r="H204" s="22"/>
      <c r="I204" s="22"/>
      <c r="J204" s="22"/>
      <c r="K204" s="22"/>
      <c r="L204" s="22"/>
    </row>
    <row r="205" spans="1:12">
      <c r="A205" s="19"/>
      <c r="B205" s="20"/>
      <c r="C205" s="21"/>
      <c r="D205" s="22"/>
      <c r="E205" s="22"/>
      <c r="F205" s="22"/>
      <c r="G205" s="22"/>
      <c r="H205" s="22"/>
      <c r="I205" s="22"/>
      <c r="J205" s="22"/>
      <c r="K205" s="22"/>
      <c r="L205" s="22"/>
    </row>
    <row r="206" spans="1:12">
      <c r="A206" s="19"/>
      <c r="B206" s="20"/>
      <c r="C206" s="21"/>
      <c r="D206" s="22"/>
      <c r="E206" s="22"/>
      <c r="F206" s="22"/>
      <c r="G206" s="22"/>
      <c r="H206" s="22"/>
      <c r="I206" s="22"/>
      <c r="J206" s="22"/>
      <c r="K206" s="22"/>
      <c r="L206" s="22"/>
    </row>
    <row r="207" spans="1:12">
      <c r="A207" s="19"/>
      <c r="B207" s="20"/>
      <c r="C207" s="21"/>
      <c r="D207" s="22"/>
      <c r="E207" s="22"/>
      <c r="F207" s="22"/>
      <c r="G207" s="22"/>
      <c r="H207" s="22"/>
      <c r="I207" s="22"/>
      <c r="J207" s="22"/>
      <c r="K207" s="22"/>
      <c r="L207" s="22"/>
    </row>
    <row r="208" spans="1:12">
      <c r="A208" s="19"/>
      <c r="B208" s="20"/>
      <c r="C208" s="21"/>
      <c r="D208" s="22"/>
      <c r="E208" s="22"/>
      <c r="F208" s="22"/>
      <c r="G208" s="22"/>
      <c r="H208" s="22"/>
      <c r="I208" s="22"/>
      <c r="J208" s="22"/>
      <c r="K208" s="22"/>
      <c r="L208" s="22"/>
    </row>
    <row r="209" spans="1:12">
      <c r="A209" s="19"/>
      <c r="B209" s="20"/>
      <c r="C209" s="21"/>
      <c r="D209" s="22"/>
      <c r="E209" s="22"/>
      <c r="F209" s="22"/>
      <c r="G209" s="22"/>
      <c r="H209" s="22"/>
      <c r="I209" s="22"/>
      <c r="J209" s="22"/>
      <c r="K209" s="22"/>
      <c r="L209" s="22"/>
    </row>
    <row r="210" spans="1:12">
      <c r="A210" s="19"/>
      <c r="B210" s="20"/>
      <c r="C210" s="21"/>
      <c r="D210" s="22"/>
      <c r="E210" s="22"/>
      <c r="F210" s="22"/>
      <c r="G210" s="22"/>
      <c r="H210" s="22"/>
      <c r="I210" s="22"/>
      <c r="J210" s="22"/>
      <c r="K210" s="22"/>
      <c r="L210" s="22"/>
    </row>
    <row r="211" spans="1:12">
      <c r="A211" s="19"/>
      <c r="B211" s="20"/>
      <c r="C211" s="21"/>
      <c r="D211" s="22"/>
      <c r="E211" s="22"/>
      <c r="F211" s="22"/>
      <c r="G211" s="22"/>
      <c r="H211" s="22"/>
      <c r="I211" s="22"/>
      <c r="J211" s="22"/>
      <c r="K211" s="22"/>
      <c r="L211" s="22"/>
    </row>
    <row r="212" spans="1:12">
      <c r="A212" s="19"/>
      <c r="B212" s="20"/>
      <c r="C212" s="21"/>
      <c r="D212" s="22"/>
      <c r="E212" s="22"/>
      <c r="F212" s="22"/>
      <c r="G212" s="22"/>
      <c r="H212" s="22"/>
      <c r="I212" s="22"/>
      <c r="J212" s="22"/>
      <c r="K212" s="22"/>
      <c r="L212" s="22"/>
    </row>
    <row r="213" spans="1:12">
      <c r="A213" s="19"/>
      <c r="B213" s="20"/>
      <c r="C213" s="21"/>
      <c r="D213" s="22"/>
      <c r="E213" s="22"/>
      <c r="F213" s="22"/>
      <c r="G213" s="22"/>
      <c r="H213" s="22"/>
      <c r="I213" s="22"/>
      <c r="J213" s="22"/>
      <c r="K213" s="22"/>
      <c r="L213" s="22"/>
    </row>
    <row r="214" spans="1:12">
      <c r="A214" s="19"/>
      <c r="B214" s="20"/>
      <c r="C214" s="21"/>
      <c r="D214" s="22"/>
      <c r="E214" s="22"/>
      <c r="F214" s="22"/>
      <c r="G214" s="22"/>
      <c r="H214" s="22"/>
      <c r="I214" s="22"/>
      <c r="J214" s="22"/>
      <c r="K214" s="22"/>
      <c r="L214" s="22"/>
    </row>
    <row r="215" spans="1:12">
      <c r="A215" s="19"/>
      <c r="B215" s="20"/>
      <c r="C215" s="21"/>
      <c r="D215" s="22"/>
      <c r="E215" s="22"/>
      <c r="F215" s="22"/>
      <c r="G215" s="22"/>
      <c r="H215" s="22"/>
      <c r="I215" s="22"/>
      <c r="J215" s="22"/>
      <c r="K215" s="22"/>
      <c r="L215" s="22"/>
    </row>
    <row r="216" spans="1:12">
      <c r="A216" s="19"/>
      <c r="B216" s="20"/>
      <c r="C216" s="21"/>
      <c r="D216" s="22"/>
      <c r="E216" s="22"/>
      <c r="F216" s="22"/>
      <c r="G216" s="22"/>
      <c r="H216" s="22"/>
      <c r="I216" s="22"/>
      <c r="J216" s="22"/>
      <c r="K216" s="22"/>
      <c r="L216" s="22"/>
    </row>
    <row r="217" spans="1:12">
      <c r="A217" s="19"/>
      <c r="B217" s="20"/>
      <c r="C217" s="21"/>
      <c r="D217" s="22"/>
      <c r="E217" s="22"/>
      <c r="F217" s="22"/>
      <c r="G217" s="22"/>
      <c r="H217" s="22"/>
      <c r="I217" s="22"/>
      <c r="J217" s="22"/>
      <c r="K217" s="22"/>
      <c r="L217" s="22"/>
    </row>
    <row r="218" spans="1:12">
      <c r="A218" s="19"/>
      <c r="B218" s="20"/>
      <c r="C218" s="21"/>
      <c r="D218" s="22"/>
      <c r="E218" s="22"/>
      <c r="F218" s="22"/>
      <c r="G218" s="22"/>
      <c r="H218" s="22"/>
      <c r="I218" s="22"/>
      <c r="J218" s="22"/>
      <c r="K218" s="22"/>
      <c r="L218" s="22"/>
    </row>
    <row r="219" spans="1:12">
      <c r="A219" s="19"/>
      <c r="B219" s="20"/>
      <c r="C219" s="21"/>
      <c r="D219" s="22"/>
      <c r="E219" s="22"/>
      <c r="F219" s="22"/>
      <c r="G219" s="22"/>
      <c r="H219" s="22"/>
      <c r="I219" s="22"/>
      <c r="J219" s="22"/>
      <c r="K219" s="22"/>
      <c r="L219" s="22"/>
    </row>
    <row r="220" spans="1:12">
      <c r="A220" s="19"/>
      <c r="B220" s="20"/>
      <c r="C220" s="21"/>
      <c r="D220" s="22"/>
      <c r="E220" s="22"/>
      <c r="F220" s="22"/>
      <c r="G220" s="22"/>
      <c r="H220" s="22"/>
      <c r="I220" s="22"/>
      <c r="J220" s="22"/>
      <c r="K220" s="22"/>
      <c r="L220" s="22"/>
    </row>
    <row r="221" spans="1:12">
      <c r="A221" s="19"/>
      <c r="B221" s="20"/>
      <c r="C221" s="21"/>
      <c r="D221" s="22"/>
      <c r="E221" s="22"/>
      <c r="F221" s="22"/>
      <c r="G221" s="22"/>
      <c r="H221" s="22"/>
      <c r="I221" s="22"/>
      <c r="J221" s="22"/>
      <c r="K221" s="22"/>
      <c r="L221" s="22"/>
    </row>
    <row r="222" spans="1:12">
      <c r="A222" s="19"/>
      <c r="B222" s="20"/>
      <c r="C222" s="21"/>
      <c r="D222" s="22"/>
      <c r="E222" s="22"/>
      <c r="F222" s="22"/>
      <c r="G222" s="22"/>
      <c r="H222" s="22"/>
      <c r="I222" s="22"/>
      <c r="J222" s="22"/>
      <c r="K222" s="22"/>
      <c r="L222" s="22"/>
    </row>
    <row r="223" spans="1:12">
      <c r="A223" s="19"/>
      <c r="B223" s="20"/>
      <c r="C223" s="21"/>
      <c r="D223" s="22"/>
      <c r="E223" s="22"/>
      <c r="F223" s="22"/>
      <c r="G223" s="22"/>
      <c r="H223" s="22"/>
      <c r="I223" s="22"/>
      <c r="J223" s="22"/>
      <c r="K223" s="22"/>
      <c r="L223" s="22"/>
    </row>
    <row r="224" spans="1:12">
      <c r="A224" s="19"/>
      <c r="B224" s="20"/>
      <c r="C224" s="21"/>
      <c r="D224" s="22"/>
      <c r="E224" s="22"/>
      <c r="F224" s="22"/>
      <c r="G224" s="22"/>
      <c r="H224" s="22"/>
      <c r="I224" s="22"/>
      <c r="J224" s="22"/>
      <c r="K224" s="22"/>
      <c r="L224" s="22"/>
    </row>
    <row r="225" spans="1:12">
      <c r="A225" s="19"/>
      <c r="B225" s="20"/>
      <c r="C225" s="21"/>
      <c r="D225" s="22"/>
      <c r="E225" s="22"/>
      <c r="F225" s="22"/>
      <c r="G225" s="22"/>
      <c r="H225" s="22"/>
      <c r="I225" s="22"/>
      <c r="J225" s="22"/>
      <c r="K225" s="22"/>
      <c r="L225" s="22"/>
    </row>
    <row r="226" spans="1:12">
      <c r="A226" s="19"/>
      <c r="B226" s="20"/>
      <c r="C226" s="21"/>
      <c r="D226" s="22"/>
      <c r="E226" s="22"/>
      <c r="F226" s="22"/>
      <c r="G226" s="22"/>
      <c r="H226" s="22"/>
      <c r="I226" s="22"/>
      <c r="J226" s="22"/>
      <c r="K226" s="22"/>
      <c r="L226" s="22"/>
    </row>
    <row r="227" spans="1:12">
      <c r="A227" s="19"/>
      <c r="B227" s="20"/>
      <c r="C227" s="21"/>
      <c r="D227" s="22"/>
      <c r="E227" s="22"/>
      <c r="F227" s="22"/>
      <c r="G227" s="22"/>
      <c r="H227" s="22"/>
      <c r="I227" s="22"/>
      <c r="J227" s="22"/>
      <c r="K227" s="22"/>
      <c r="L227" s="22"/>
    </row>
    <row r="228" spans="1:12">
      <c r="A228" s="19"/>
      <c r="B228" s="20"/>
      <c r="C228" s="21"/>
      <c r="D228" s="22"/>
      <c r="E228" s="22"/>
      <c r="F228" s="22"/>
      <c r="G228" s="22"/>
      <c r="H228" s="22"/>
      <c r="I228" s="22"/>
      <c r="J228" s="22"/>
      <c r="K228" s="22"/>
      <c r="L228" s="22"/>
    </row>
    <row r="229" spans="1:12">
      <c r="A229" s="19"/>
      <c r="B229" s="20"/>
      <c r="C229" s="21"/>
      <c r="D229" s="22"/>
      <c r="E229" s="22"/>
      <c r="F229" s="22"/>
      <c r="G229" s="22"/>
      <c r="H229" s="22"/>
      <c r="I229" s="22"/>
      <c r="J229" s="22"/>
      <c r="K229" s="22"/>
      <c r="L229" s="22"/>
    </row>
  </sheetData>
  <mergeCells count="2">
    <mergeCell ref="G1:J1"/>
    <mergeCell ref="A2:C2"/>
  </mergeCells>
  <phoneticPr fontId="2" type="noConversion"/>
  <printOptions horizontalCentered="1"/>
  <pageMargins left="0.47244094488188981" right="0.51181102362204722" top="0.55118110236220474" bottom="0.98425196850393704" header="0.51181102362204722" footer="0.51181102362204722"/>
  <pageSetup paperSize="9" orientation="portrait" horizontalDpi="4294967293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7"/>
  <sheetViews>
    <sheetView zoomScale="75" workbookViewId="0">
      <selection activeCell="D30" sqref="D30"/>
    </sheetView>
  </sheetViews>
  <sheetFormatPr baseColWidth="10" defaultColWidth="8.83203125" defaultRowHeight="13"/>
  <cols>
    <col min="1" max="2" width="5.83203125" bestFit="1" customWidth="1"/>
    <col min="3" max="3" width="33.5" bestFit="1" customWidth="1"/>
    <col min="4" max="4" width="12.6640625" bestFit="1" customWidth="1"/>
    <col min="5" max="6" width="10.5" bestFit="1" customWidth="1"/>
    <col min="7" max="7" width="10" customWidth="1"/>
    <col min="8" max="8" width="3.6640625" bestFit="1" customWidth="1"/>
    <col min="9" max="9" width="5.83203125" bestFit="1" customWidth="1"/>
    <col min="10" max="10" width="73.1640625" customWidth="1"/>
    <col min="11" max="11" width="11.6640625" bestFit="1" customWidth="1"/>
    <col min="12" max="12" width="12.83203125" bestFit="1" customWidth="1"/>
    <col min="13" max="13" width="12.33203125" customWidth="1"/>
    <col min="14" max="14" width="9.33203125" bestFit="1" customWidth="1"/>
    <col min="15" max="15" width="10.5" bestFit="1" customWidth="1"/>
    <col min="16" max="16" width="11.5" bestFit="1" customWidth="1"/>
    <col min="17" max="17" width="11.5" customWidth="1"/>
    <col min="18" max="18" width="10.83203125" customWidth="1"/>
  </cols>
  <sheetData>
    <row r="1" spans="1:18" ht="19" thickBot="1">
      <c r="A1" t="s">
        <v>364</v>
      </c>
      <c r="H1" s="513" t="s">
        <v>365</v>
      </c>
      <c r="I1" s="514"/>
      <c r="J1" s="660" t="s">
        <v>366</v>
      </c>
      <c r="K1" s="528" t="s">
        <v>367</v>
      </c>
      <c r="L1" s="528" t="s">
        <v>368</v>
      </c>
      <c r="M1" s="686" t="s">
        <v>369</v>
      </c>
      <c r="N1" s="527" t="s">
        <v>370</v>
      </c>
      <c r="O1" s="527" t="s">
        <v>367</v>
      </c>
      <c r="P1" s="527" t="s">
        <v>371</v>
      </c>
      <c r="Q1" s="444" t="s">
        <v>372</v>
      </c>
      <c r="R1" s="527" t="s">
        <v>373</v>
      </c>
    </row>
    <row r="2" spans="1:18" ht="14" thickBot="1">
      <c r="H2" s="520"/>
      <c r="I2" s="474">
        <v>2219</v>
      </c>
      <c r="J2" s="916" t="s">
        <v>374</v>
      </c>
      <c r="K2" s="476">
        <v>120000</v>
      </c>
      <c r="L2" s="476">
        <f>30000/4</f>
        <v>7500</v>
      </c>
      <c r="M2" s="521"/>
      <c r="N2" s="541">
        <v>1</v>
      </c>
      <c r="O2" s="522">
        <f>IF(1,K2,0)</f>
        <v>120000</v>
      </c>
      <c r="P2" s="522"/>
      <c r="Q2" s="579">
        <f>L2</f>
        <v>7500</v>
      </c>
      <c r="R2" s="579"/>
    </row>
    <row r="3" spans="1:18" ht="14" thickBot="1">
      <c r="A3" s="701" t="s">
        <v>375</v>
      </c>
      <c r="B3" s="504"/>
      <c r="C3" s="702" t="s">
        <v>376</v>
      </c>
      <c r="D3" s="709" t="s">
        <v>377</v>
      </c>
      <c r="E3" s="714" t="s">
        <v>378</v>
      </c>
      <c r="F3" s="505" t="s">
        <v>379</v>
      </c>
      <c r="H3" s="535">
        <v>1</v>
      </c>
      <c r="I3" s="486">
        <v>2219</v>
      </c>
      <c r="J3" s="917" t="s">
        <v>380</v>
      </c>
      <c r="K3" s="918"/>
      <c r="L3" s="918">
        <v>60000</v>
      </c>
      <c r="M3" s="536"/>
      <c r="N3" s="544">
        <v>1</v>
      </c>
      <c r="O3" s="524"/>
      <c r="P3" s="524">
        <f>SUM(O2:O3)</f>
        <v>120000</v>
      </c>
      <c r="Q3" s="580">
        <f>L3</f>
        <v>60000</v>
      </c>
      <c r="R3" s="580">
        <f>SUM(Q2:Q3)</f>
        <v>67500</v>
      </c>
    </row>
    <row r="4" spans="1:18" s="125" customFormat="1">
      <c r="A4" s="698">
        <v>2212</v>
      </c>
      <c r="B4" s="699">
        <v>6121</v>
      </c>
      <c r="C4" s="703" t="s">
        <v>381</v>
      </c>
      <c r="D4" s="710" t="e">
        <f>#REF!</f>
        <v>#REF!</v>
      </c>
      <c r="E4" s="700">
        <v>0</v>
      </c>
      <c r="F4" s="719">
        <v>0</v>
      </c>
      <c r="H4" s="520"/>
      <c r="I4" s="474">
        <v>2223</v>
      </c>
      <c r="J4" s="916" t="s">
        <v>382</v>
      </c>
      <c r="K4" s="476">
        <v>180000</v>
      </c>
      <c r="L4" s="476"/>
      <c r="M4" s="521"/>
      <c r="N4" s="541">
        <v>1</v>
      </c>
      <c r="O4" s="522">
        <f>IF(1,K4,0)</f>
        <v>180000</v>
      </c>
      <c r="P4" s="522"/>
      <c r="Q4" s="579"/>
      <c r="R4" s="579"/>
    </row>
    <row r="5" spans="1:18" s="166" customFormat="1">
      <c r="A5" s="697">
        <v>2219</v>
      </c>
      <c r="B5" s="108">
        <v>6121</v>
      </c>
      <c r="C5" s="704" t="s">
        <v>383</v>
      </c>
      <c r="D5" s="711" t="e">
        <f>#REF!</f>
        <v>#REF!</v>
      </c>
      <c r="E5" s="715" t="e">
        <f>#REF!</f>
        <v>#REF!</v>
      </c>
      <c r="F5" s="506" t="e">
        <f>#REF!</f>
        <v>#REF!</v>
      </c>
      <c r="H5" s="483"/>
      <c r="I5" s="464">
        <v>2223</v>
      </c>
      <c r="J5" s="919" t="s">
        <v>384</v>
      </c>
      <c r="K5" s="117">
        <v>100000</v>
      </c>
      <c r="L5" s="117"/>
      <c r="M5" s="523"/>
      <c r="N5" s="544">
        <v>1</v>
      </c>
      <c r="O5" s="524">
        <f>IF(1,K5,0)</f>
        <v>100000</v>
      </c>
      <c r="P5" s="524"/>
      <c r="Q5" s="580"/>
      <c r="R5" s="580"/>
    </row>
    <row r="6" spans="1:18" s="166" customFormat="1">
      <c r="A6" s="697">
        <v>2223</v>
      </c>
      <c r="B6" s="108">
        <v>6121</v>
      </c>
      <c r="C6" s="704" t="s">
        <v>385</v>
      </c>
      <c r="D6" s="711" t="e">
        <f>#REF!</f>
        <v>#REF!</v>
      </c>
      <c r="E6" s="715" t="e">
        <f>#REF!</f>
        <v>#REF!</v>
      </c>
      <c r="F6" s="506" t="e">
        <f>#REF!</f>
        <v>#REF!</v>
      </c>
      <c r="H6" s="483">
        <v>1</v>
      </c>
      <c r="I6" s="464">
        <v>2223</v>
      </c>
      <c r="J6" s="919" t="s">
        <v>386</v>
      </c>
      <c r="K6" s="117">
        <v>80000</v>
      </c>
      <c r="L6" s="117"/>
      <c r="M6" s="523"/>
      <c r="N6" s="544">
        <v>1</v>
      </c>
      <c r="O6" s="524">
        <f>IF(1,K6,0)</f>
        <v>80000</v>
      </c>
      <c r="P6" s="524"/>
      <c r="Q6" s="580"/>
      <c r="R6" s="580"/>
    </row>
    <row r="7" spans="1:18" s="125" customFormat="1">
      <c r="A7" s="697">
        <v>2223</v>
      </c>
      <c r="B7" s="108">
        <v>6130</v>
      </c>
      <c r="C7" s="704" t="e">
        <f>#REF!</f>
        <v>#REF!</v>
      </c>
      <c r="D7" s="711" t="e">
        <f>#REF!</f>
        <v>#REF!</v>
      </c>
      <c r="E7" s="715" t="e">
        <f>#REF!</f>
        <v>#REF!</v>
      </c>
      <c r="F7" s="506" t="e">
        <f>#REF!</f>
        <v>#REF!</v>
      </c>
      <c r="G7" s="149"/>
      <c r="H7" s="483"/>
      <c r="I7" s="464">
        <v>2223</v>
      </c>
      <c r="J7" s="919" t="s">
        <v>387</v>
      </c>
      <c r="K7" s="117">
        <v>232000</v>
      </c>
      <c r="L7" s="117"/>
      <c r="M7" s="523"/>
      <c r="N7" s="544"/>
      <c r="O7" s="920">
        <v>232000</v>
      </c>
      <c r="P7" s="524"/>
      <c r="Q7" s="580"/>
      <c r="R7" s="580"/>
    </row>
    <row r="8" spans="1:18" s="166" customFormat="1" ht="14" thickBot="1">
      <c r="A8" s="697">
        <v>2321</v>
      </c>
      <c r="B8" s="108">
        <v>6121</v>
      </c>
      <c r="C8" s="704" t="s">
        <v>388</v>
      </c>
      <c r="D8" s="711" t="e">
        <f>#REF!</f>
        <v>#REF!</v>
      </c>
      <c r="E8" s="715" t="e">
        <f>#REF!</f>
        <v>#REF!</v>
      </c>
      <c r="F8" s="506" t="e">
        <f>#REF!</f>
        <v>#REF!</v>
      </c>
      <c r="G8" s="259"/>
      <c r="H8" s="517"/>
      <c r="I8" s="479">
        <v>2223</v>
      </c>
      <c r="J8" s="921" t="s">
        <v>389</v>
      </c>
      <c r="K8" s="481"/>
      <c r="L8" s="481">
        <v>500000</v>
      </c>
      <c r="M8" s="525"/>
      <c r="N8" s="546">
        <v>1</v>
      </c>
      <c r="O8" s="526"/>
      <c r="P8" s="526">
        <f>SUM(O4:O8)</f>
        <v>592000</v>
      </c>
      <c r="Q8" s="581">
        <v>150000</v>
      </c>
      <c r="R8" s="581"/>
    </row>
    <row r="9" spans="1:18" s="166" customFormat="1">
      <c r="A9" s="697">
        <v>2329</v>
      </c>
      <c r="B9" s="108">
        <v>6121</v>
      </c>
      <c r="C9" s="704" t="s">
        <v>390</v>
      </c>
      <c r="D9" s="711" t="e">
        <f>#REF!</f>
        <v>#REF!</v>
      </c>
      <c r="E9" s="715" t="e">
        <f>#REF!</f>
        <v>#REF!</v>
      </c>
      <c r="F9" s="506" t="e">
        <f>#REF!</f>
        <v>#REF!</v>
      </c>
      <c r="G9" s="259"/>
      <c r="H9" s="520">
        <v>1</v>
      </c>
      <c r="I9" s="474">
        <v>2321</v>
      </c>
      <c r="J9" s="916" t="s">
        <v>391</v>
      </c>
      <c r="K9" s="476">
        <v>750000</v>
      </c>
      <c r="L9" s="476"/>
      <c r="M9" s="521"/>
      <c r="N9" s="544">
        <v>1</v>
      </c>
      <c r="O9" s="524">
        <f>IF(1,K9,0)</f>
        <v>750000</v>
      </c>
      <c r="P9" s="524"/>
      <c r="Q9" s="580"/>
      <c r="R9" s="580"/>
    </row>
    <row r="10" spans="1:18" s="166" customFormat="1">
      <c r="A10" s="697">
        <v>2329</v>
      </c>
      <c r="B10" s="108">
        <v>6121</v>
      </c>
      <c r="C10" s="704" t="s">
        <v>392</v>
      </c>
      <c r="D10" s="711" t="e">
        <f>#REF!</f>
        <v>#REF!</v>
      </c>
      <c r="E10" s="715" t="e">
        <f>#REF!</f>
        <v>#REF!</v>
      </c>
      <c r="F10" s="506" t="e">
        <f>#REF!</f>
        <v>#REF!</v>
      </c>
      <c r="H10" s="533">
        <v>1</v>
      </c>
      <c r="I10" s="469">
        <v>2321</v>
      </c>
      <c r="J10" s="922" t="s">
        <v>393</v>
      </c>
      <c r="K10" s="471"/>
      <c r="L10" s="471">
        <v>100000</v>
      </c>
      <c r="M10" s="534"/>
      <c r="N10" s="544">
        <v>1</v>
      </c>
      <c r="O10" s="524"/>
      <c r="P10" s="524"/>
      <c r="Q10" s="580">
        <f>L10</f>
        <v>100000</v>
      </c>
      <c r="R10" s="580"/>
    </row>
    <row r="11" spans="1:18" s="166" customFormat="1">
      <c r="A11" s="697">
        <v>2334</v>
      </c>
      <c r="B11" s="108">
        <v>5229</v>
      </c>
      <c r="C11" s="704" t="s">
        <v>394</v>
      </c>
      <c r="D11" s="711" t="e">
        <f>#REF!</f>
        <v>#REF!</v>
      </c>
      <c r="E11" s="715" t="e">
        <f>#REF!</f>
        <v>#REF!</v>
      </c>
      <c r="F11" s="506" t="e">
        <f>#REF!</f>
        <v>#REF!</v>
      </c>
      <c r="G11" s="259"/>
      <c r="H11" s="483"/>
      <c r="I11" s="464">
        <v>2321</v>
      </c>
      <c r="J11" s="919" t="s">
        <v>395</v>
      </c>
      <c r="K11" s="117"/>
      <c r="L11" s="117">
        <v>100000</v>
      </c>
      <c r="M11" s="523"/>
      <c r="N11" s="544">
        <v>1</v>
      </c>
      <c r="O11" s="524"/>
      <c r="P11" s="524"/>
      <c r="Q11" s="580">
        <f>L11</f>
        <v>100000</v>
      </c>
      <c r="R11" s="580"/>
    </row>
    <row r="12" spans="1:18" s="166" customFormat="1" ht="14" thickBot="1">
      <c r="A12" s="697">
        <v>3111</v>
      </c>
      <c r="B12" s="108">
        <v>6121</v>
      </c>
      <c r="C12" s="704" t="s">
        <v>396</v>
      </c>
      <c r="D12" s="711" t="e">
        <f>#REF!</f>
        <v>#REF!</v>
      </c>
      <c r="E12" s="716" t="e">
        <f>#REF!</f>
        <v>#REF!</v>
      </c>
      <c r="F12" s="506" t="e">
        <f>#REF!</f>
        <v>#REF!</v>
      </c>
      <c r="G12" s="259"/>
      <c r="H12" s="535"/>
      <c r="I12" s="486">
        <v>2321</v>
      </c>
      <c r="J12" s="923" t="s">
        <v>397</v>
      </c>
      <c r="K12" s="918"/>
      <c r="L12" s="918">
        <v>105000</v>
      </c>
      <c r="M12" s="536"/>
      <c r="N12" s="544">
        <v>1</v>
      </c>
      <c r="O12" s="524"/>
      <c r="P12" s="524">
        <f>SUM(O9:O12)</f>
        <v>750000</v>
      </c>
      <c r="Q12" s="580">
        <f>L12</f>
        <v>105000</v>
      </c>
      <c r="R12" s="580">
        <f>SUM(Q9:Q12)</f>
        <v>305000</v>
      </c>
    </row>
    <row r="13" spans="1:18" s="258" customFormat="1" ht="14" thickBot="1">
      <c r="A13" s="697">
        <v>3421</v>
      </c>
      <c r="B13" s="108">
        <v>6122</v>
      </c>
      <c r="C13" s="704" t="s">
        <v>398</v>
      </c>
      <c r="D13" s="711" t="e">
        <f>#REF!</f>
        <v>#REF!</v>
      </c>
      <c r="E13" s="716" t="e">
        <f>#REF!</f>
        <v>#REF!</v>
      </c>
      <c r="F13" s="506" t="e">
        <f>#REF!</f>
        <v>#REF!</v>
      </c>
      <c r="G13" s="270"/>
      <c r="H13" s="537">
        <v>1</v>
      </c>
      <c r="I13" s="519">
        <v>2329</v>
      </c>
      <c r="J13" s="924" t="s">
        <v>399</v>
      </c>
      <c r="K13" s="925">
        <v>750000</v>
      </c>
      <c r="L13" s="925"/>
      <c r="M13" s="538"/>
      <c r="N13" s="549">
        <v>1</v>
      </c>
      <c r="O13" s="539">
        <f>IF(1,K13,0)</f>
        <v>750000</v>
      </c>
      <c r="P13" s="539">
        <f>O13</f>
        <v>750000</v>
      </c>
      <c r="Q13" s="579"/>
      <c r="R13" s="582"/>
    </row>
    <row r="14" spans="1:18" s="119" customFormat="1">
      <c r="A14" s="697">
        <v>3613</v>
      </c>
      <c r="B14" s="108">
        <v>6122</v>
      </c>
      <c r="C14" s="704" t="s">
        <v>400</v>
      </c>
      <c r="D14" s="711" t="e">
        <f>#REF!</f>
        <v>#REF!</v>
      </c>
      <c r="E14" s="716"/>
      <c r="F14" s="506"/>
      <c r="G14" s="826"/>
      <c r="H14" s="540">
        <v>1</v>
      </c>
      <c r="I14" s="926">
        <v>2334</v>
      </c>
      <c r="J14" s="916" t="s">
        <v>401</v>
      </c>
      <c r="K14" s="476"/>
      <c r="L14" s="476">
        <v>100000</v>
      </c>
      <c r="M14" s="521"/>
      <c r="N14" s="541">
        <v>1</v>
      </c>
      <c r="O14" s="522">
        <f>K14</f>
        <v>0</v>
      </c>
      <c r="P14" s="542"/>
      <c r="Q14" s="583">
        <f>L14</f>
        <v>100000</v>
      </c>
      <c r="R14" s="583"/>
    </row>
    <row r="15" spans="1:18">
      <c r="A15" s="697">
        <v>3631</v>
      </c>
      <c r="B15" s="108">
        <v>6121</v>
      </c>
      <c r="C15" s="704" t="s">
        <v>402</v>
      </c>
      <c r="D15" s="711" t="e">
        <f>#REF!</f>
        <v>#REF!</v>
      </c>
      <c r="E15" s="716" t="e">
        <f>#REF!</f>
        <v>#REF!</v>
      </c>
      <c r="F15" s="506" t="e">
        <f>#REF!</f>
        <v>#REF!</v>
      </c>
      <c r="H15" s="543">
        <v>1</v>
      </c>
      <c r="I15" s="927">
        <v>2334</v>
      </c>
      <c r="J15" s="919" t="s">
        <v>403</v>
      </c>
      <c r="K15" s="117">
        <v>600000</v>
      </c>
      <c r="L15" s="117"/>
      <c r="M15" s="928">
        <v>400000</v>
      </c>
      <c r="N15" s="544">
        <v>1</v>
      </c>
      <c r="O15" s="524">
        <f>IF(1,K15,0)</f>
        <v>600000</v>
      </c>
      <c r="P15" s="929">
        <f>O15</f>
        <v>600000</v>
      </c>
      <c r="Q15" s="584"/>
      <c r="R15" s="584"/>
    </row>
    <row r="16" spans="1:18">
      <c r="A16" s="697">
        <v>3635</v>
      </c>
      <c r="B16" s="108">
        <v>6119</v>
      </c>
      <c r="C16" s="704" t="s">
        <v>404</v>
      </c>
      <c r="D16" s="711" t="e">
        <f>#REF!</f>
        <v>#REF!</v>
      </c>
      <c r="E16" s="716" t="e">
        <f>#REF!</f>
        <v>#REF!</v>
      </c>
      <c r="F16" s="506" t="e">
        <f>#REF!</f>
        <v>#REF!</v>
      </c>
      <c r="H16" s="543"/>
      <c r="I16" s="927">
        <v>2334</v>
      </c>
      <c r="J16" s="919" t="s">
        <v>405</v>
      </c>
      <c r="K16" s="117"/>
      <c r="L16" s="117">
        <v>120000</v>
      </c>
      <c r="M16" s="523"/>
      <c r="N16" s="544">
        <v>1</v>
      </c>
      <c r="O16" s="524"/>
      <c r="P16" s="358"/>
      <c r="Q16" s="584">
        <f>L16</f>
        <v>120000</v>
      </c>
      <c r="R16" s="584"/>
    </row>
    <row r="17" spans="1:18" ht="14" thickBot="1">
      <c r="A17" s="697">
        <v>5299</v>
      </c>
      <c r="B17" s="108">
        <v>6122</v>
      </c>
      <c r="C17" s="704" t="s">
        <v>406</v>
      </c>
      <c r="D17" s="711">
        <f>AP149</f>
        <v>0</v>
      </c>
      <c r="E17" s="716" t="e">
        <f>#REF!</f>
        <v>#REF!</v>
      </c>
      <c r="F17" s="506" t="e">
        <f>#REF!</f>
        <v>#REF!</v>
      </c>
      <c r="H17" s="545"/>
      <c r="I17" s="508">
        <v>2334</v>
      </c>
      <c r="J17" s="921" t="s">
        <v>407</v>
      </c>
      <c r="K17" s="481"/>
      <c r="L17" s="481">
        <v>30000</v>
      </c>
      <c r="M17" s="525"/>
      <c r="N17" s="546">
        <v>1</v>
      </c>
      <c r="O17" s="526"/>
      <c r="P17" s="547"/>
      <c r="Q17" s="585">
        <f>L17</f>
        <v>30000</v>
      </c>
      <c r="R17" s="585">
        <f>SUM(Q14:Q17)</f>
        <v>250000</v>
      </c>
    </row>
    <row r="18" spans="1:18" ht="14" thickBot="1">
      <c r="A18" s="606">
        <v>6171</v>
      </c>
      <c r="B18" s="131">
        <v>6121</v>
      </c>
      <c r="C18" s="705" t="s">
        <v>408</v>
      </c>
      <c r="D18" s="712" t="e">
        <f>#REF!</f>
        <v>#REF!</v>
      </c>
      <c r="E18" s="717" t="e">
        <f>#REF!</f>
        <v>#REF!</v>
      </c>
      <c r="F18" s="507" t="e">
        <f>#REF!</f>
        <v>#REF!</v>
      </c>
      <c r="H18" s="548">
        <v>1</v>
      </c>
      <c r="I18" s="556">
        <v>3111</v>
      </c>
      <c r="J18" s="924" t="s">
        <v>409</v>
      </c>
      <c r="K18" s="925">
        <v>150000</v>
      </c>
      <c r="L18" s="925"/>
      <c r="M18" s="538"/>
      <c r="N18" s="549">
        <v>1</v>
      </c>
      <c r="O18" s="539">
        <f>IF(1,K18,0)</f>
        <v>150000</v>
      </c>
      <c r="P18" s="539">
        <f>O18</f>
        <v>150000</v>
      </c>
      <c r="Q18" s="582"/>
      <c r="R18" s="582"/>
    </row>
    <row r="19" spans="1:18" ht="14" thickBot="1">
      <c r="A19" s="706"/>
      <c r="B19" s="707"/>
      <c r="C19" s="708" t="s">
        <v>410</v>
      </c>
      <c r="D19" s="713" t="e">
        <f>SUM(D4:D18)</f>
        <v>#REF!</v>
      </c>
      <c r="E19" s="718" t="e">
        <f>SUM(E5:E18)</f>
        <v>#REF!</v>
      </c>
      <c r="F19" s="674" t="e">
        <f>SUM(F5:F18)</f>
        <v>#REF!</v>
      </c>
      <c r="H19" s="548"/>
      <c r="I19" s="556">
        <v>3326</v>
      </c>
      <c r="J19" s="924" t="s">
        <v>411</v>
      </c>
      <c r="K19" s="925"/>
      <c r="L19" s="925">
        <v>50000</v>
      </c>
      <c r="M19" s="538"/>
      <c r="N19" s="549">
        <v>1</v>
      </c>
      <c r="O19" s="539"/>
      <c r="P19" s="539"/>
      <c r="Q19" s="582">
        <f>L19</f>
        <v>50000</v>
      </c>
      <c r="R19" s="582">
        <f>Q19</f>
        <v>50000</v>
      </c>
    </row>
    <row r="20" spans="1:18" ht="14" thickBot="1">
      <c r="H20" s="548">
        <v>1</v>
      </c>
      <c r="I20" s="556">
        <v>3421</v>
      </c>
      <c r="J20" s="924" t="s">
        <v>412</v>
      </c>
      <c r="K20" s="925">
        <v>600000</v>
      </c>
      <c r="L20" s="925"/>
      <c r="M20" s="930">
        <v>400000</v>
      </c>
      <c r="N20" s="549">
        <v>1</v>
      </c>
      <c r="O20" s="539">
        <f>IF(1,K20,0)</f>
        <v>600000</v>
      </c>
      <c r="P20" s="931">
        <f>O20</f>
        <v>600000</v>
      </c>
      <c r="Q20" s="582"/>
      <c r="R20" s="582"/>
    </row>
    <row r="21" spans="1:18">
      <c r="C21" s="720" t="s">
        <v>413</v>
      </c>
      <c r="D21" s="161">
        <v>467</v>
      </c>
      <c r="H21" s="540">
        <v>1</v>
      </c>
      <c r="I21" s="926">
        <v>3631</v>
      </c>
      <c r="J21" s="916" t="s">
        <v>414</v>
      </c>
      <c r="K21" s="476">
        <v>295000</v>
      </c>
      <c r="L21" s="476"/>
      <c r="M21" s="932"/>
      <c r="N21" s="541">
        <v>1</v>
      </c>
      <c r="O21" s="522">
        <f>IF(1,K21,0)</f>
        <v>295000</v>
      </c>
      <c r="P21" s="522"/>
      <c r="Q21" s="579"/>
      <c r="R21" s="579"/>
    </row>
    <row r="22" spans="1:18" ht="14" thickBot="1">
      <c r="C22" s="720" t="s">
        <v>415</v>
      </c>
      <c r="D22" s="161">
        <v>1250</v>
      </c>
      <c r="H22" s="550"/>
      <c r="I22" s="508">
        <v>3631</v>
      </c>
      <c r="J22" s="921" t="s">
        <v>416</v>
      </c>
      <c r="K22" s="481"/>
      <c r="L22" s="481"/>
      <c r="M22" s="933"/>
      <c r="N22" s="546">
        <v>1</v>
      </c>
      <c r="O22" s="526">
        <f>IF(1,K22,0)</f>
        <v>0</v>
      </c>
      <c r="P22" s="526">
        <f>SUM(O21:O22)</f>
        <v>295000</v>
      </c>
      <c r="Q22" s="581"/>
      <c r="R22" s="581"/>
    </row>
    <row r="23" spans="1:18" ht="14" thickBot="1">
      <c r="C23" s="721" t="s">
        <v>417</v>
      </c>
      <c r="D23" s="722">
        <v>1783</v>
      </c>
      <c r="H23" s="551">
        <v>1</v>
      </c>
      <c r="I23" s="934">
        <v>3639</v>
      </c>
      <c r="J23" s="922" t="s">
        <v>418</v>
      </c>
      <c r="K23" s="471"/>
      <c r="L23" s="471">
        <v>200000</v>
      </c>
      <c r="M23" s="534"/>
      <c r="N23" s="544">
        <v>1</v>
      </c>
      <c r="O23" s="524"/>
      <c r="P23" s="524"/>
      <c r="Q23" s="580">
        <v>200000</v>
      </c>
      <c r="R23" s="580"/>
    </row>
    <row r="24" spans="1:18" s="103" customFormat="1" ht="14" thickBot="1">
      <c r="C24" s="720" t="s">
        <v>419</v>
      </c>
      <c r="D24" s="161">
        <f>SUM(D21:D23)</f>
        <v>3500</v>
      </c>
      <c r="H24" s="552">
        <v>1</v>
      </c>
      <c r="I24" s="935">
        <v>3639</v>
      </c>
      <c r="J24" s="923" t="s">
        <v>420</v>
      </c>
      <c r="K24" s="936"/>
      <c r="L24" s="936">
        <v>300000</v>
      </c>
      <c r="M24" s="553"/>
      <c r="N24" s="544">
        <v>1</v>
      </c>
      <c r="O24" s="524"/>
      <c r="P24" s="524"/>
      <c r="Q24" s="580">
        <v>300000</v>
      </c>
      <c r="R24" s="580">
        <f>SUM(Q23:Q24)</f>
        <v>500000</v>
      </c>
    </row>
    <row r="25" spans="1:18" ht="14" thickBot="1">
      <c r="H25" s="518"/>
      <c r="I25" s="556"/>
      <c r="J25" s="661" t="s">
        <v>410</v>
      </c>
      <c r="K25" s="155">
        <f>SUM(K2:K24)</f>
        <v>3857000</v>
      </c>
      <c r="L25" s="155">
        <f>SUM(L2:L24)</f>
        <v>1672500</v>
      </c>
      <c r="M25" s="680">
        <f>SUM(M2:M24)</f>
        <v>800000</v>
      </c>
      <c r="N25" s="214"/>
      <c r="O25" s="555">
        <f>SUM(O2:O24)</f>
        <v>3857000</v>
      </c>
      <c r="P25" s="555">
        <f>SUM(P2:P24)</f>
        <v>3857000</v>
      </c>
      <c r="Q25" s="555">
        <f>SUM(Q2:Q24)</f>
        <v>1322500</v>
      </c>
      <c r="R25" s="555">
        <f>SUM(R2:R24)</f>
        <v>1172500</v>
      </c>
    </row>
    <row r="26" spans="1:18">
      <c r="H26" s="529"/>
      <c r="I26" s="486"/>
      <c r="J26" s="687" t="s">
        <v>404</v>
      </c>
      <c r="K26" s="530" t="e">
        <f>E16</f>
        <v>#REF!</v>
      </c>
      <c r="L26" s="530"/>
      <c r="M26" s="681"/>
      <c r="N26" s="531"/>
      <c r="O26" s="122" t="e">
        <f>E16</f>
        <v>#REF!</v>
      </c>
      <c r="P26" s="124"/>
      <c r="Q26" s="124"/>
      <c r="R26" s="426"/>
    </row>
    <row r="27" spans="1:18" ht="17" thickBot="1">
      <c r="D27">
        <f>479+217+222+500+65+1711+743+602+3355+100+606</f>
        <v>8600</v>
      </c>
      <c r="H27" s="486"/>
      <c r="I27" s="486"/>
      <c r="J27" s="682" t="s">
        <v>421</v>
      </c>
      <c r="K27" s="683" t="e">
        <f>SUM(K25:K26)</f>
        <v>#REF!</v>
      </c>
      <c r="L27" s="684"/>
      <c r="M27" s="685"/>
      <c r="N27" s="489"/>
      <c r="O27" s="106" t="e">
        <f>SUM(O25:O26)</f>
        <v>#REF!</v>
      </c>
      <c r="P27" s="124"/>
      <c r="Q27" s="124"/>
      <c r="R27" s="426"/>
    </row>
    <row r="28" spans="1:18">
      <c r="H28" s="486"/>
      <c r="I28" s="486"/>
      <c r="J28" s="488"/>
      <c r="K28" s="124"/>
      <c r="L28" s="124"/>
      <c r="M28" s="124"/>
      <c r="N28" s="489"/>
      <c r="O28" s="3"/>
      <c r="P28" s="124"/>
      <c r="Q28" s="124"/>
      <c r="R28" s="426"/>
    </row>
    <row r="29" spans="1:18" ht="14" thickBot="1">
      <c r="H29" s="486"/>
      <c r="I29" s="486"/>
      <c r="J29" s="488"/>
      <c r="K29" s="124"/>
      <c r="L29" s="124"/>
      <c r="M29" s="124"/>
      <c r="N29" s="489"/>
      <c r="O29" s="124"/>
      <c r="P29" s="124"/>
      <c r="Q29" s="124"/>
      <c r="R29" s="426"/>
    </row>
    <row r="30" spans="1:18" ht="19" thickBot="1">
      <c r="H30" s="556"/>
      <c r="I30" s="519"/>
      <c r="J30" s="557" t="s">
        <v>422</v>
      </c>
      <c r="K30" s="558" t="s">
        <v>367</v>
      </c>
      <c r="L30" s="558" t="s">
        <v>368</v>
      </c>
      <c r="M30" s="559" t="s">
        <v>369</v>
      </c>
      <c r="N30" s="532"/>
      <c r="O30" s="124"/>
      <c r="P30" s="124"/>
      <c r="Q30" s="120"/>
      <c r="R30" s="426"/>
    </row>
    <row r="31" spans="1:18">
      <c r="H31" s="515"/>
      <c r="I31" s="516">
        <v>2223</v>
      </c>
      <c r="J31" s="937" t="s">
        <v>423</v>
      </c>
      <c r="K31" s="938">
        <f>276*6*500</f>
        <v>828000</v>
      </c>
      <c r="L31" s="938"/>
      <c r="M31" s="939"/>
      <c r="N31" s="940">
        <v>2</v>
      </c>
      <c r="O31" s="929"/>
      <c r="P31" s="124">
        <f t="shared" ref="P31:P38" si="0">IF(1,K31,0)</f>
        <v>828000</v>
      </c>
      <c r="Q31" s="266"/>
      <c r="R31" s="426"/>
    </row>
    <row r="32" spans="1:18" ht="14" thickBot="1">
      <c r="H32" s="508"/>
      <c r="I32" s="510">
        <v>2223</v>
      </c>
      <c r="J32" s="511" t="s">
        <v>424</v>
      </c>
      <c r="K32" s="481">
        <f>251*6*500</f>
        <v>753000</v>
      </c>
      <c r="L32" s="481"/>
      <c r="M32" s="482"/>
      <c r="N32" s="509">
        <v>2</v>
      </c>
      <c r="O32" s="124"/>
      <c r="P32" s="124">
        <f t="shared" si="0"/>
        <v>753000</v>
      </c>
      <c r="Q32" s="120"/>
      <c r="R32" s="426"/>
    </row>
    <row r="33" spans="8:18">
      <c r="H33" s="512"/>
      <c r="I33" s="469">
        <v>2223</v>
      </c>
      <c r="J33" s="470" t="s">
        <v>425</v>
      </c>
      <c r="K33" s="471">
        <f>275*6*250</f>
        <v>412500</v>
      </c>
      <c r="L33" s="471"/>
      <c r="M33" s="472"/>
      <c r="N33" s="467">
        <v>2</v>
      </c>
      <c r="O33" s="929"/>
      <c r="P33" s="124">
        <f t="shared" si="0"/>
        <v>412500</v>
      </c>
      <c r="Q33" s="266"/>
      <c r="R33" s="426"/>
    </row>
    <row r="34" spans="8:18">
      <c r="H34" s="468"/>
      <c r="I34" s="469">
        <v>2223</v>
      </c>
      <c r="J34" s="470" t="s">
        <v>426</v>
      </c>
      <c r="K34" s="471">
        <f>550*1.5*550</f>
        <v>453750</v>
      </c>
      <c r="L34" s="471"/>
      <c r="M34" s="472"/>
      <c r="N34" s="467">
        <v>2</v>
      </c>
      <c r="O34" s="124"/>
      <c r="P34" s="124">
        <f t="shared" si="0"/>
        <v>453750</v>
      </c>
      <c r="Q34" s="120"/>
      <c r="R34" s="426"/>
    </row>
    <row r="35" spans="8:18">
      <c r="H35" s="463"/>
      <c r="I35" s="469">
        <v>2223</v>
      </c>
      <c r="J35" s="465" t="s">
        <v>427</v>
      </c>
      <c r="K35" s="117">
        <v>450000</v>
      </c>
      <c r="L35" s="117"/>
      <c r="M35" s="466"/>
      <c r="N35" s="467">
        <v>2</v>
      </c>
      <c r="O35" s="124"/>
      <c r="P35" s="124">
        <f t="shared" si="0"/>
        <v>450000</v>
      </c>
      <c r="Q35" s="120"/>
      <c r="R35" s="426"/>
    </row>
    <row r="36" spans="8:18">
      <c r="H36" s="463">
        <v>1</v>
      </c>
      <c r="I36" s="469">
        <v>2223</v>
      </c>
      <c r="J36" s="465" t="s">
        <v>428</v>
      </c>
      <c r="K36" s="117">
        <f>450*1.5*550</f>
        <v>371250</v>
      </c>
      <c r="L36" s="117"/>
      <c r="M36" s="466"/>
      <c r="N36" s="467">
        <v>2</v>
      </c>
      <c r="O36" s="124"/>
      <c r="P36" s="124">
        <f t="shared" si="0"/>
        <v>371250</v>
      </c>
      <c r="Q36" s="120"/>
      <c r="R36" s="426"/>
    </row>
    <row r="37" spans="8:18" ht="14" thickBot="1">
      <c r="H37" s="463"/>
      <c r="I37" s="469">
        <v>2223</v>
      </c>
      <c r="J37" s="465" t="s">
        <v>429</v>
      </c>
      <c r="K37" s="117">
        <v>300000</v>
      </c>
      <c r="L37" s="117"/>
      <c r="M37" s="466"/>
      <c r="N37" s="467">
        <v>2</v>
      </c>
      <c r="O37" s="124"/>
      <c r="P37" s="124">
        <f t="shared" si="0"/>
        <v>300000</v>
      </c>
      <c r="Q37" s="120"/>
      <c r="R37" s="426"/>
    </row>
    <row r="38" spans="8:18">
      <c r="H38" s="473"/>
      <c r="I38" s="474">
        <v>2223</v>
      </c>
      <c r="J38" s="475" t="s">
        <v>430</v>
      </c>
      <c r="K38" s="476">
        <v>300000</v>
      </c>
      <c r="L38" s="476"/>
      <c r="M38" s="477"/>
      <c r="N38" s="467">
        <v>2</v>
      </c>
      <c r="O38" s="124"/>
      <c r="P38" s="124">
        <f t="shared" si="0"/>
        <v>300000</v>
      </c>
      <c r="Q38" s="120"/>
      <c r="R38" s="426"/>
    </row>
    <row r="39" spans="8:18">
      <c r="H39" s="468"/>
      <c r="I39" s="469">
        <v>2223</v>
      </c>
      <c r="J39" s="470" t="s">
        <v>431</v>
      </c>
      <c r="K39" s="471">
        <v>200000</v>
      </c>
      <c r="L39" s="471">
        <v>200000</v>
      </c>
      <c r="M39" s="472"/>
      <c r="N39" s="467">
        <v>2</v>
      </c>
      <c r="O39" s="124"/>
      <c r="P39" s="124">
        <f>IF(1,L39,0)</f>
        <v>200000</v>
      </c>
      <c r="Q39" s="120"/>
      <c r="R39" s="426"/>
    </row>
    <row r="40" spans="8:18">
      <c r="H40" s="468"/>
      <c r="I40" s="486">
        <v>2329</v>
      </c>
      <c r="J40" s="470" t="s">
        <v>432</v>
      </c>
      <c r="K40" s="471">
        <v>1000000</v>
      </c>
      <c r="L40" s="471"/>
      <c r="M40" s="472"/>
      <c r="N40" s="467">
        <v>2</v>
      </c>
      <c r="O40" s="124"/>
      <c r="P40" s="124">
        <f t="shared" ref="P40:P49" si="1">IF(1,K40,0)</f>
        <v>1000000</v>
      </c>
      <c r="Q40" s="120"/>
      <c r="R40" s="426"/>
    </row>
    <row r="41" spans="8:18" ht="14" thickBot="1">
      <c r="H41" s="478"/>
      <c r="I41" s="460">
        <v>2329</v>
      </c>
      <c r="J41" s="480" t="s">
        <v>433</v>
      </c>
      <c r="K41" s="481">
        <v>1200000</v>
      </c>
      <c r="L41" s="481"/>
      <c r="M41" s="482"/>
      <c r="N41" s="467">
        <v>2</v>
      </c>
      <c r="O41" s="124"/>
      <c r="P41" s="124">
        <f t="shared" si="1"/>
        <v>1200000</v>
      </c>
      <c r="Q41" s="120"/>
      <c r="R41" s="426"/>
    </row>
    <row r="42" spans="8:18">
      <c r="H42" s="468"/>
      <c r="I42" s="469">
        <v>2329</v>
      </c>
      <c r="J42" s="470" t="s">
        <v>434</v>
      </c>
      <c r="K42" s="471">
        <v>750000</v>
      </c>
      <c r="L42" s="471"/>
      <c r="M42" s="472"/>
      <c r="N42" s="467">
        <v>2</v>
      </c>
      <c r="O42" s="124"/>
      <c r="P42" s="124">
        <f t="shared" si="1"/>
        <v>750000</v>
      </c>
      <c r="Q42" s="120"/>
      <c r="R42" s="426"/>
    </row>
    <row r="43" spans="8:18">
      <c r="H43" s="468"/>
      <c r="I43" s="469">
        <v>2329</v>
      </c>
      <c r="J43" s="470" t="s">
        <v>435</v>
      </c>
      <c r="K43" s="471">
        <v>7300000</v>
      </c>
      <c r="L43" s="471"/>
      <c r="M43" s="472"/>
      <c r="N43" s="467">
        <v>2</v>
      </c>
      <c r="O43" s="124"/>
      <c r="P43" s="124">
        <f t="shared" si="1"/>
        <v>7300000</v>
      </c>
      <c r="Q43" s="120"/>
      <c r="R43" s="426"/>
    </row>
    <row r="44" spans="8:18" s="265" customFormat="1">
      <c r="H44" s="468">
        <v>1</v>
      </c>
      <c r="I44" s="469">
        <v>3111</v>
      </c>
      <c r="J44" s="470" t="s">
        <v>436</v>
      </c>
      <c r="K44" s="471">
        <f>8890000*1.21</f>
        <v>10756900</v>
      </c>
      <c r="L44" s="471"/>
      <c r="M44" s="472">
        <v>8000000</v>
      </c>
      <c r="N44" s="467">
        <v>2</v>
      </c>
      <c r="O44" s="124"/>
      <c r="P44" s="124">
        <f t="shared" si="1"/>
        <v>10756900</v>
      </c>
      <c r="Q44" s="120"/>
      <c r="R44" s="125"/>
    </row>
    <row r="45" spans="8:18" s="265" customFormat="1">
      <c r="H45" s="468"/>
      <c r="I45" s="469">
        <v>3111</v>
      </c>
      <c r="J45" s="470" t="s">
        <v>437</v>
      </c>
      <c r="K45" s="471">
        <v>350000</v>
      </c>
      <c r="L45" s="471"/>
      <c r="M45" s="472"/>
      <c r="N45" s="467">
        <v>2</v>
      </c>
      <c r="O45" s="124"/>
      <c r="P45" s="124">
        <f t="shared" si="1"/>
        <v>350000</v>
      </c>
      <c r="Q45" s="120"/>
      <c r="R45" s="125"/>
    </row>
    <row r="46" spans="8:18">
      <c r="H46" s="463">
        <v>1</v>
      </c>
      <c r="I46" s="464">
        <v>3111</v>
      </c>
      <c r="J46" s="465" t="s">
        <v>438</v>
      </c>
      <c r="K46" s="117">
        <f>2540000*1.21</f>
        <v>3073400</v>
      </c>
      <c r="L46" s="117"/>
      <c r="M46" s="466"/>
      <c r="N46" s="467">
        <v>2</v>
      </c>
      <c r="O46" s="124"/>
      <c r="P46" s="124">
        <f t="shared" si="1"/>
        <v>3073400</v>
      </c>
      <c r="Q46" s="120"/>
      <c r="R46" s="426"/>
    </row>
    <row r="47" spans="8:18">
      <c r="H47" s="463"/>
      <c r="I47" s="464">
        <v>3631</v>
      </c>
      <c r="J47" s="465" t="s">
        <v>439</v>
      </c>
      <c r="K47" s="117">
        <f>15*15000+150000</f>
        <v>375000</v>
      </c>
      <c r="L47" s="117"/>
      <c r="M47" s="466"/>
      <c r="N47" s="467">
        <v>2</v>
      </c>
      <c r="O47" s="124"/>
      <c r="P47" s="124">
        <f t="shared" si="1"/>
        <v>375000</v>
      </c>
      <c r="Q47" s="120"/>
      <c r="R47" s="426"/>
    </row>
    <row r="48" spans="8:18">
      <c r="H48" s="463"/>
      <c r="I48" s="464">
        <v>3631</v>
      </c>
      <c r="J48" s="465" t="s">
        <v>440</v>
      </c>
      <c r="K48" s="117">
        <v>350000</v>
      </c>
      <c r="L48" s="117"/>
      <c r="M48" s="466"/>
      <c r="N48" s="467">
        <v>2</v>
      </c>
      <c r="O48" s="124"/>
      <c r="P48" s="124">
        <f t="shared" si="1"/>
        <v>350000</v>
      </c>
      <c r="Q48" s="120"/>
      <c r="R48" s="426"/>
    </row>
    <row r="49" spans="8:18" s="265" customFormat="1">
      <c r="H49" s="463"/>
      <c r="I49" s="464">
        <v>3631</v>
      </c>
      <c r="J49" s="465" t="s">
        <v>441</v>
      </c>
      <c r="K49" s="117">
        <f>7*15000</f>
        <v>105000</v>
      </c>
      <c r="L49" s="117"/>
      <c r="M49" s="466"/>
      <c r="N49" s="467">
        <v>2</v>
      </c>
      <c r="O49" s="124"/>
      <c r="P49" s="124">
        <f t="shared" si="1"/>
        <v>105000</v>
      </c>
      <c r="Q49" s="120"/>
      <c r="R49" s="125"/>
    </row>
    <row r="50" spans="8:18">
      <c r="H50" s="483"/>
      <c r="I50" s="484"/>
      <c r="J50" s="465" t="s">
        <v>442</v>
      </c>
      <c r="K50" s="117">
        <v>700000</v>
      </c>
      <c r="L50" s="117"/>
      <c r="M50" s="466">
        <v>450000</v>
      </c>
      <c r="N50" s="467">
        <v>2</v>
      </c>
      <c r="O50" s="358"/>
      <c r="P50" s="124">
        <f>IF(2,K50,0)</f>
        <v>700000</v>
      </c>
      <c r="Q50" s="359"/>
      <c r="R50" s="426"/>
    </row>
    <row r="51" spans="8:18">
      <c r="H51" s="463"/>
      <c r="I51" s="464"/>
      <c r="J51" s="465" t="s">
        <v>443</v>
      </c>
      <c r="K51" s="117">
        <v>1000000</v>
      </c>
      <c r="L51" s="117"/>
      <c r="M51" s="466">
        <v>950000</v>
      </c>
      <c r="N51" s="467">
        <v>2</v>
      </c>
      <c r="O51" s="106"/>
      <c r="P51" s="124">
        <f>IF(2,K51,0)</f>
        <v>1000000</v>
      </c>
      <c r="Q51" s="103"/>
      <c r="R51" s="426"/>
    </row>
    <row r="52" spans="8:18">
      <c r="H52" s="463"/>
      <c r="I52" s="464"/>
      <c r="J52" s="465" t="s">
        <v>444</v>
      </c>
      <c r="K52" s="117">
        <v>500000</v>
      </c>
      <c r="L52" s="117"/>
      <c r="M52" s="466"/>
      <c r="N52" s="467">
        <v>2</v>
      </c>
      <c r="O52" s="124"/>
      <c r="P52" s="124">
        <f>IF(2,K52,0)</f>
        <v>500000</v>
      </c>
      <c r="Q52" s="120"/>
      <c r="R52" s="426"/>
    </row>
    <row r="53" spans="8:18">
      <c r="H53" s="463"/>
      <c r="I53" s="464"/>
      <c r="J53" s="465" t="s">
        <v>445</v>
      </c>
      <c r="K53" s="117">
        <v>50000</v>
      </c>
      <c r="L53" s="117"/>
      <c r="M53" s="466"/>
      <c r="N53" s="467">
        <v>2</v>
      </c>
      <c r="O53" s="124"/>
      <c r="P53" s="124"/>
      <c r="Q53" s="120"/>
      <c r="R53" s="426"/>
    </row>
    <row r="54" spans="8:18">
      <c r="H54" s="463"/>
      <c r="I54" s="464"/>
      <c r="J54" s="465" t="s">
        <v>446</v>
      </c>
      <c r="K54" s="117">
        <v>300000</v>
      </c>
      <c r="L54" s="117"/>
      <c r="M54" s="466"/>
      <c r="N54" s="467">
        <v>2</v>
      </c>
      <c r="O54" s="124"/>
      <c r="P54" s="124">
        <f>IF(2,K54,0)</f>
        <v>300000</v>
      </c>
      <c r="Q54" s="120"/>
      <c r="R54" s="426"/>
    </row>
    <row r="55" spans="8:18" ht="14" thickBot="1">
      <c r="H55" s="478"/>
      <c r="I55" s="479"/>
      <c r="J55" s="480" t="s">
        <v>447</v>
      </c>
      <c r="K55" s="481"/>
      <c r="L55" s="481">
        <v>100000</v>
      </c>
      <c r="M55" s="482">
        <v>80000</v>
      </c>
      <c r="N55" s="485">
        <v>3</v>
      </c>
      <c r="O55" s="106"/>
      <c r="P55" s="106"/>
      <c r="Q55" s="124">
        <f>IF(3,L55,0)</f>
        <v>100000</v>
      </c>
      <c r="R55" s="426"/>
    </row>
    <row r="56" spans="8:18">
      <c r="H56" s="486"/>
      <c r="I56" s="486"/>
      <c r="J56" s="487" t="s">
        <v>410</v>
      </c>
      <c r="K56" s="106" t="e">
        <f>SUM(K3:K55)</f>
        <v>#REF!</v>
      </c>
      <c r="L56" s="106">
        <f>SUM(L3:L55)</f>
        <v>3637500</v>
      </c>
      <c r="M56" s="106">
        <f>SUM(M3:M55)</f>
        <v>11080000</v>
      </c>
      <c r="N56" s="213"/>
      <c r="O56" s="106"/>
      <c r="P56" s="106">
        <f>SUM(P31:P55)</f>
        <v>31828800</v>
      </c>
      <c r="Q56" s="103"/>
      <c r="R56" s="426"/>
    </row>
    <row r="57" spans="8:18">
      <c r="H57" s="486"/>
      <c r="I57" s="486"/>
      <c r="J57" s="488"/>
      <c r="K57" s="120"/>
      <c r="L57" s="120"/>
      <c r="M57" s="120"/>
      <c r="N57" s="489"/>
      <c r="O57" s="120"/>
      <c r="P57" s="120"/>
      <c r="Q57" s="120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83"/>
  <sheetViews>
    <sheetView topLeftCell="A18" zoomScale="75" workbookViewId="0">
      <selection activeCell="F42" sqref="F42"/>
    </sheetView>
  </sheetViews>
  <sheetFormatPr baseColWidth="10" defaultColWidth="8.83203125" defaultRowHeight="13"/>
  <cols>
    <col min="1" max="1" width="78.1640625" bestFit="1" customWidth="1"/>
    <col min="2" max="2" width="20" bestFit="1" customWidth="1"/>
    <col min="3" max="3" width="12.83203125" bestFit="1" customWidth="1"/>
    <col min="4" max="4" width="11.6640625" bestFit="1" customWidth="1"/>
    <col min="5" max="5" width="22.5" bestFit="1" customWidth="1"/>
  </cols>
  <sheetData>
    <row r="1" spans="1:2" ht="24">
      <c r="A1" s="427" t="s">
        <v>448</v>
      </c>
      <c r="B1" s="428">
        <v>1519305</v>
      </c>
    </row>
    <row r="2" spans="1:2" ht="14" thickBot="1"/>
    <row r="3" spans="1:2" ht="23">
      <c r="A3" s="1089" t="s">
        <v>449</v>
      </c>
      <c r="B3" s="1090"/>
    </row>
    <row r="4" spans="1:2" ht="17" thickBot="1">
      <c r="A4" s="429" t="s">
        <v>450</v>
      </c>
      <c r="B4" s="430" t="s">
        <v>451</v>
      </c>
    </row>
    <row r="5" spans="1:2" ht="16">
      <c r="A5" s="431" t="s">
        <v>452</v>
      </c>
      <c r="B5" s="432">
        <v>2654</v>
      </c>
    </row>
    <row r="6" spans="1:2" ht="16">
      <c r="A6" s="431" t="s">
        <v>453</v>
      </c>
      <c r="B6" s="432">
        <v>2500</v>
      </c>
    </row>
    <row r="7" spans="1:2" ht="16">
      <c r="A7" s="431" t="s">
        <v>454</v>
      </c>
      <c r="B7" s="432">
        <v>2965</v>
      </c>
    </row>
    <row r="8" spans="1:2" ht="16">
      <c r="A8" s="431" t="s">
        <v>455</v>
      </c>
      <c r="B8" s="432">
        <v>12884</v>
      </c>
    </row>
    <row r="9" spans="1:2" ht="16">
      <c r="A9" s="431" t="s">
        <v>456</v>
      </c>
      <c r="B9" s="432">
        <v>3500</v>
      </c>
    </row>
    <row r="10" spans="1:2" ht="16">
      <c r="A10" s="431" t="s">
        <v>457</v>
      </c>
      <c r="B10" s="432">
        <v>484</v>
      </c>
    </row>
    <row r="11" spans="1:2" ht="16">
      <c r="A11" s="431" t="s">
        <v>458</v>
      </c>
      <c r="B11" s="432">
        <v>3328</v>
      </c>
    </row>
    <row r="12" spans="1:2" ht="16">
      <c r="A12" s="431" t="s">
        <v>459</v>
      </c>
      <c r="B12" s="432">
        <v>1019</v>
      </c>
    </row>
    <row r="13" spans="1:2" ht="16">
      <c r="A13" s="431" t="s">
        <v>460</v>
      </c>
      <c r="B13" s="432">
        <v>5749</v>
      </c>
    </row>
    <row r="14" spans="1:2" ht="16">
      <c r="A14" s="431" t="s">
        <v>461</v>
      </c>
      <c r="B14" s="432">
        <v>3267</v>
      </c>
    </row>
    <row r="15" spans="1:2" ht="16">
      <c r="A15" s="431" t="s">
        <v>462</v>
      </c>
      <c r="B15" s="432">
        <v>1815</v>
      </c>
    </row>
    <row r="16" spans="1:2" ht="16">
      <c r="A16" s="433" t="s">
        <v>463</v>
      </c>
      <c r="B16" s="434">
        <v>21690</v>
      </c>
    </row>
    <row r="17" spans="1:5" ht="16">
      <c r="A17" s="431" t="s">
        <v>464</v>
      </c>
      <c r="B17" s="432">
        <v>16708</v>
      </c>
    </row>
    <row r="18" spans="1:5" ht="16">
      <c r="A18" s="431" t="s">
        <v>465</v>
      </c>
      <c r="B18" s="432">
        <v>42834</v>
      </c>
    </row>
    <row r="19" spans="1:5" ht="17" thickBot="1">
      <c r="A19" s="431" t="s">
        <v>466</v>
      </c>
      <c r="B19" s="432">
        <v>54208</v>
      </c>
    </row>
    <row r="20" spans="1:5" ht="17" thickBot="1">
      <c r="A20" s="435" t="s">
        <v>467</v>
      </c>
      <c r="B20" s="436">
        <f>SUM(B5:B19)</f>
        <v>175605</v>
      </c>
    </row>
    <row r="21" spans="1:5" ht="16">
      <c r="A21" s="941" t="s">
        <v>468</v>
      </c>
      <c r="B21" s="437">
        <v>25000</v>
      </c>
    </row>
    <row r="22" spans="1:5" ht="16">
      <c r="A22" s="387" t="s">
        <v>469</v>
      </c>
      <c r="B22" s="388">
        <f>B20-B21</f>
        <v>150605</v>
      </c>
    </row>
    <row r="23" spans="1:5" ht="16">
      <c r="A23" s="387"/>
      <c r="B23" s="388"/>
    </row>
    <row r="24" spans="1:5" ht="23">
      <c r="A24" s="438" t="s">
        <v>470</v>
      </c>
      <c r="B24" s="439">
        <v>1368700</v>
      </c>
      <c r="C24" s="440"/>
      <c r="E24" s="288"/>
    </row>
    <row r="25" spans="1:5" ht="24" thickBot="1">
      <c r="A25" s="438"/>
      <c r="B25" s="439"/>
      <c r="C25" s="440"/>
    </row>
    <row r="26" spans="1:5" ht="23">
      <c r="A26" s="1089" t="s">
        <v>471</v>
      </c>
      <c r="B26" s="1090"/>
      <c r="C26" s="440"/>
    </row>
    <row r="27" spans="1:5" ht="17" thickBot="1">
      <c r="A27" s="429" t="s">
        <v>450</v>
      </c>
      <c r="B27" s="430" t="s">
        <v>451</v>
      </c>
      <c r="C27" s="437"/>
    </row>
    <row r="28" spans="1:5" ht="16">
      <c r="A28" s="441" t="s">
        <v>472</v>
      </c>
      <c r="B28" s="442">
        <v>3899</v>
      </c>
      <c r="C28" s="390" t="s">
        <v>473</v>
      </c>
    </row>
    <row r="29" spans="1:5" ht="16">
      <c r="A29" s="433" t="s">
        <v>474</v>
      </c>
      <c r="B29" s="434">
        <v>1436</v>
      </c>
      <c r="C29" s="391" t="s">
        <v>475</v>
      </c>
    </row>
    <row r="30" spans="1:5" ht="16">
      <c r="A30" s="431" t="s">
        <v>476</v>
      </c>
      <c r="B30" s="432">
        <v>1664</v>
      </c>
      <c r="C30" s="391" t="s">
        <v>477</v>
      </c>
    </row>
    <row r="31" spans="1:5" ht="16">
      <c r="A31" s="431" t="s">
        <v>478</v>
      </c>
      <c r="B31" s="432">
        <v>1690</v>
      </c>
      <c r="C31" s="391" t="s">
        <v>479</v>
      </c>
    </row>
    <row r="32" spans="1:5" ht="16">
      <c r="A32" s="431" t="s">
        <v>480</v>
      </c>
      <c r="B32" s="432">
        <v>738</v>
      </c>
      <c r="C32" s="391" t="s">
        <v>481</v>
      </c>
    </row>
    <row r="33" spans="1:3" ht="16">
      <c r="A33" s="431" t="s">
        <v>482</v>
      </c>
      <c r="B33" s="432">
        <v>2319</v>
      </c>
      <c r="C33" s="391" t="s">
        <v>483</v>
      </c>
    </row>
    <row r="34" spans="1:3" ht="16">
      <c r="A34" s="431" t="s">
        <v>484</v>
      </c>
      <c r="B34" s="432">
        <v>390</v>
      </c>
      <c r="C34" s="391" t="s">
        <v>485</v>
      </c>
    </row>
    <row r="35" spans="1:3" ht="16">
      <c r="A35" s="431" t="s">
        <v>486</v>
      </c>
      <c r="B35" s="432">
        <v>1694</v>
      </c>
      <c r="C35" s="391" t="s">
        <v>487</v>
      </c>
    </row>
    <row r="36" spans="1:3" ht="16">
      <c r="A36" s="431" t="s">
        <v>488</v>
      </c>
      <c r="B36" s="432">
        <v>515</v>
      </c>
      <c r="C36" s="391" t="s">
        <v>489</v>
      </c>
    </row>
    <row r="37" spans="1:3" ht="16">
      <c r="A37" s="431" t="s">
        <v>490</v>
      </c>
      <c r="B37" s="432">
        <v>2227</v>
      </c>
      <c r="C37" s="391" t="s">
        <v>491</v>
      </c>
    </row>
    <row r="38" spans="1:3" ht="16">
      <c r="A38" s="431" t="s">
        <v>492</v>
      </c>
      <c r="B38" s="432">
        <v>986</v>
      </c>
      <c r="C38" s="391" t="s">
        <v>493</v>
      </c>
    </row>
    <row r="39" spans="1:3" ht="16">
      <c r="A39" s="431" t="s">
        <v>494</v>
      </c>
      <c r="B39" s="432">
        <v>10004</v>
      </c>
      <c r="C39" s="391" t="s">
        <v>495</v>
      </c>
    </row>
    <row r="40" spans="1:3" ht="16">
      <c r="A40" s="431" t="s">
        <v>496</v>
      </c>
      <c r="B40" s="432">
        <v>6815</v>
      </c>
      <c r="C40" s="391" t="s">
        <v>497</v>
      </c>
    </row>
    <row r="41" spans="1:3" ht="17" thickBot="1">
      <c r="A41" s="431" t="s">
        <v>498</v>
      </c>
      <c r="B41" s="432">
        <v>6900</v>
      </c>
      <c r="C41" s="443" t="s">
        <v>499</v>
      </c>
    </row>
    <row r="42" spans="1:3" ht="21" thickBot="1">
      <c r="A42" s="435" t="s">
        <v>500</v>
      </c>
      <c r="B42" s="436">
        <f>SUM(B28:B41)</f>
        <v>41277</v>
      </c>
      <c r="C42" s="440"/>
    </row>
    <row r="43" spans="1:3" ht="20">
      <c r="A43" s="444"/>
      <c r="B43" s="437"/>
      <c r="C43" s="440"/>
    </row>
    <row r="44" spans="1:3" ht="17" thickBot="1">
      <c r="A44" s="387"/>
      <c r="B44" s="388"/>
    </row>
    <row r="45" spans="1:3" ht="24" thickBot="1">
      <c r="A45" s="1091" t="s">
        <v>501</v>
      </c>
      <c r="B45" s="1092"/>
    </row>
    <row r="46" spans="1:3" ht="16">
      <c r="A46" s="445" t="s">
        <v>502</v>
      </c>
      <c r="B46" s="389">
        <v>4586</v>
      </c>
      <c r="C46" s="446" t="s">
        <v>503</v>
      </c>
    </row>
    <row r="47" spans="1:3" ht="17" thickBot="1">
      <c r="A47" s="447" t="s">
        <v>504</v>
      </c>
      <c r="B47" s="448">
        <v>11567</v>
      </c>
      <c r="C47" s="449" t="s">
        <v>505</v>
      </c>
    </row>
    <row r="48" spans="1:3" ht="17" thickBot="1">
      <c r="A48" s="450" t="s">
        <v>506</v>
      </c>
      <c r="B48" s="451">
        <f>SUM(B46:B47)</f>
        <v>16153</v>
      </c>
      <c r="C48" s="437"/>
    </row>
    <row r="49" spans="1:5" ht="16">
      <c r="A49" s="452"/>
      <c r="B49" s="453"/>
      <c r="C49" s="437"/>
    </row>
    <row r="50" spans="1:5" ht="17" thickBot="1">
      <c r="A50" s="452"/>
      <c r="B50" s="453"/>
      <c r="C50" s="437"/>
    </row>
    <row r="51" spans="1:5" ht="23">
      <c r="A51" s="1089" t="s">
        <v>507</v>
      </c>
      <c r="B51" s="1090"/>
      <c r="C51" s="440"/>
    </row>
    <row r="52" spans="1:5" ht="17" thickBot="1">
      <c r="A52" s="429" t="s">
        <v>450</v>
      </c>
      <c r="B52" s="430" t="s">
        <v>451</v>
      </c>
      <c r="C52" s="437"/>
    </row>
    <row r="53" spans="1:5" ht="16">
      <c r="A53" s="454" t="s">
        <v>508</v>
      </c>
      <c r="B53" s="455">
        <v>63513</v>
      </c>
      <c r="C53" s="446"/>
    </row>
    <row r="54" spans="1:5" s="120" customFormat="1" ht="17" thickBot="1">
      <c r="A54" s="454" t="s">
        <v>509</v>
      </c>
      <c r="B54" s="455">
        <f>80400*1.21</f>
        <v>97284</v>
      </c>
      <c r="C54" s="449"/>
      <c r="D54" s="577"/>
    </row>
    <row r="55" spans="1:5" ht="17" thickBot="1">
      <c r="A55" s="435" t="s">
        <v>510</v>
      </c>
      <c r="B55" s="436">
        <f>SUM(B45:B54)</f>
        <v>193103</v>
      </c>
      <c r="C55" s="437"/>
      <c r="E55" s="288"/>
    </row>
    <row r="56" spans="1:5" ht="16">
      <c r="A56" s="452"/>
      <c r="B56" s="453"/>
      <c r="C56" s="437"/>
    </row>
    <row r="57" spans="1:5" ht="17" thickBot="1">
      <c r="A57" s="452"/>
      <c r="B57" s="453"/>
      <c r="C57" s="437"/>
    </row>
    <row r="58" spans="1:5" ht="23">
      <c r="A58" s="1089" t="s">
        <v>511</v>
      </c>
      <c r="B58" s="1090"/>
      <c r="C58" s="440"/>
    </row>
    <row r="59" spans="1:5" ht="17" thickBot="1">
      <c r="A59" s="429" t="s">
        <v>450</v>
      </c>
      <c r="B59" s="430" t="s">
        <v>451</v>
      </c>
      <c r="C59" s="437"/>
    </row>
    <row r="60" spans="1:5" ht="16">
      <c r="A60" s="431" t="s">
        <v>512</v>
      </c>
      <c r="B60" s="432">
        <v>19965</v>
      </c>
      <c r="C60" s="446" t="s">
        <v>513</v>
      </c>
    </row>
    <row r="61" spans="1:5" ht="16">
      <c r="A61" s="431" t="s">
        <v>514</v>
      </c>
      <c r="B61" s="432">
        <v>38865</v>
      </c>
      <c r="C61" s="456"/>
    </row>
    <row r="62" spans="1:5" ht="16">
      <c r="A62" s="431" t="s">
        <v>515</v>
      </c>
      <c r="B62" s="455">
        <v>91212</v>
      </c>
      <c r="C62" s="456"/>
    </row>
    <row r="63" spans="1:5" ht="16">
      <c r="A63" s="431" t="s">
        <v>516</v>
      </c>
      <c r="B63" s="432">
        <v>121455</v>
      </c>
      <c r="C63" s="456"/>
    </row>
    <row r="64" spans="1:5" s="120" customFormat="1" ht="16">
      <c r="A64" s="431" t="s">
        <v>517</v>
      </c>
      <c r="B64" s="455">
        <v>509059</v>
      </c>
      <c r="C64" s="456"/>
      <c r="D64" s="578"/>
    </row>
    <row r="65" spans="1:5" ht="16">
      <c r="A65" s="431" t="s">
        <v>518</v>
      </c>
      <c r="B65" s="455">
        <v>75500</v>
      </c>
      <c r="C65" s="456"/>
    </row>
    <row r="66" spans="1:5" ht="16">
      <c r="A66" s="431" t="s">
        <v>519</v>
      </c>
      <c r="B66" s="455">
        <v>84216</v>
      </c>
      <c r="C66" s="456"/>
    </row>
    <row r="67" spans="1:5" ht="17" thickBot="1">
      <c r="A67" s="431" t="s">
        <v>520</v>
      </c>
      <c r="B67" s="455">
        <v>212878</v>
      </c>
      <c r="C67" s="449"/>
      <c r="D67" s="462">
        <v>15259</v>
      </c>
      <c r="E67" s="462" t="s">
        <v>521</v>
      </c>
    </row>
    <row r="68" spans="1:5" ht="17" thickBot="1">
      <c r="A68" s="435" t="s">
        <v>522</v>
      </c>
      <c r="B68" s="436">
        <f>SUM(B56:B67)</f>
        <v>1153150</v>
      </c>
      <c r="C68" s="437"/>
    </row>
    <row r="69" spans="1:5" ht="16">
      <c r="A69" s="452"/>
      <c r="B69" s="453"/>
      <c r="C69" s="437"/>
    </row>
    <row r="70" spans="1:5" ht="17" thickBot="1">
      <c r="A70" s="452"/>
      <c r="B70" s="453"/>
      <c r="C70" s="437"/>
    </row>
    <row r="71" spans="1:5" ht="23">
      <c r="A71" s="1089" t="s">
        <v>523</v>
      </c>
      <c r="B71" s="1090"/>
      <c r="C71" s="440"/>
    </row>
    <row r="72" spans="1:5" ht="17" thickBot="1">
      <c r="A72" s="429" t="s">
        <v>450</v>
      </c>
      <c r="B72" s="430" t="s">
        <v>451</v>
      </c>
      <c r="C72" s="432"/>
    </row>
    <row r="73" spans="1:5" ht="16">
      <c r="A73" s="431" t="s">
        <v>524</v>
      </c>
      <c r="B73" s="432">
        <v>1333</v>
      </c>
      <c r="C73" s="432"/>
    </row>
    <row r="74" spans="1:5" ht="16">
      <c r="A74" s="431" t="s">
        <v>525</v>
      </c>
      <c r="B74" s="432">
        <v>9500</v>
      </c>
      <c r="C74" s="432"/>
    </row>
    <row r="75" spans="1:5" s="120" customFormat="1" ht="16">
      <c r="A75" s="431" t="s">
        <v>526</v>
      </c>
      <c r="B75" s="455">
        <v>9500</v>
      </c>
      <c r="C75" s="432"/>
    </row>
    <row r="76" spans="1:5" s="120" customFormat="1" ht="16">
      <c r="A76" s="431" t="s">
        <v>527</v>
      </c>
      <c r="B76" s="432">
        <v>46400</v>
      </c>
      <c r="C76" s="432"/>
      <c r="D76" s="577"/>
    </row>
    <row r="77" spans="1:5" s="120" customFormat="1" ht="16">
      <c r="A77" s="431" t="s">
        <v>528</v>
      </c>
      <c r="B77" s="455">
        <v>60161</v>
      </c>
      <c r="C77" s="432"/>
      <c r="D77" s="578"/>
    </row>
    <row r="78" spans="1:5" s="120" customFormat="1" ht="16">
      <c r="A78" s="431" t="s">
        <v>529</v>
      </c>
      <c r="B78" s="455">
        <f>102523-B54</f>
        <v>5239</v>
      </c>
      <c r="C78" s="432"/>
      <c r="D78" s="578"/>
    </row>
    <row r="79" spans="1:5" ht="16">
      <c r="A79" s="431"/>
      <c r="B79" s="455"/>
      <c r="C79" s="432"/>
    </row>
    <row r="80" spans="1:5" ht="17" thickBot="1">
      <c r="A80" s="431"/>
      <c r="B80" s="455"/>
      <c r="C80" s="432"/>
    </row>
    <row r="81" spans="1:5" ht="17" thickBot="1">
      <c r="A81" s="435" t="s">
        <v>530</v>
      </c>
      <c r="B81" s="436">
        <f>SUM(B69:B80)</f>
        <v>132133</v>
      </c>
      <c r="C81" s="432"/>
    </row>
    <row r="82" spans="1:5" ht="16">
      <c r="A82" s="452"/>
      <c r="B82" s="453"/>
      <c r="C82" s="437"/>
    </row>
    <row r="83" spans="1:5" ht="16">
      <c r="A83" s="3"/>
      <c r="B83" s="461">
        <f>B20+B42+B48+B55+B68+B81</f>
        <v>1711421</v>
      </c>
      <c r="C83" s="288"/>
      <c r="D83" s="288"/>
      <c r="E83" s="288"/>
    </row>
  </sheetData>
  <mergeCells count="6">
    <mergeCell ref="A58:B58"/>
    <mergeCell ref="A71:B71"/>
    <mergeCell ref="A3:B3"/>
    <mergeCell ref="A26:B26"/>
    <mergeCell ref="A45:B45"/>
    <mergeCell ref="A51:B51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175"/>
  <sheetViews>
    <sheetView topLeftCell="A88" zoomScale="104" zoomScaleNormal="104" workbookViewId="0">
      <selection activeCell="A95" sqref="A95"/>
    </sheetView>
  </sheetViews>
  <sheetFormatPr baseColWidth="10" defaultColWidth="8.83203125" defaultRowHeight="12.75" customHeight="1"/>
  <cols>
    <col min="3" max="3" width="30.5" customWidth="1"/>
    <col min="4" max="10" width="0" hidden="1" customWidth="1"/>
    <col min="11" max="11" width="3.5" hidden="1" customWidth="1"/>
    <col min="12" max="12" width="0" hidden="1" customWidth="1"/>
    <col min="13" max="13" width="11.5" hidden="1" customWidth="1"/>
    <col min="14" max="14" width="12.1640625" customWidth="1"/>
    <col min="15" max="15" width="12.6640625" style="826" customWidth="1"/>
    <col min="16" max="16" width="14.33203125" style="826" customWidth="1"/>
    <col min="17" max="17" width="43.83203125" customWidth="1"/>
  </cols>
  <sheetData>
    <row r="1" spans="1:17" ht="16">
      <c r="A1" s="808" t="s">
        <v>531</v>
      </c>
      <c r="B1" s="770"/>
      <c r="C1" s="780"/>
      <c r="D1" s="780"/>
      <c r="E1" s="780"/>
      <c r="F1" s="780"/>
      <c r="G1" s="780"/>
      <c r="H1" s="780"/>
      <c r="I1" s="780"/>
      <c r="J1" s="781"/>
      <c r="K1" s="780"/>
      <c r="L1" s="780"/>
    </row>
    <row r="2" spans="1:17" ht="36">
      <c r="A2" s="796" t="s">
        <v>532</v>
      </c>
      <c r="B2" s="775" t="s">
        <v>376</v>
      </c>
      <c r="C2" s="774" t="s">
        <v>533</v>
      </c>
      <c r="D2" s="776" t="s">
        <v>534</v>
      </c>
      <c r="E2" s="776" t="s">
        <v>535</v>
      </c>
      <c r="F2" s="776" t="s">
        <v>536</v>
      </c>
      <c r="G2" s="776" t="s">
        <v>537</v>
      </c>
      <c r="H2" s="776" t="s">
        <v>538</v>
      </c>
      <c r="I2" s="800" t="s">
        <v>539</v>
      </c>
      <c r="J2" s="816" t="s">
        <v>540</v>
      </c>
      <c r="K2" s="800" t="s">
        <v>541</v>
      </c>
      <c r="L2" s="800">
        <v>2022</v>
      </c>
      <c r="M2" s="861" t="s">
        <v>542</v>
      </c>
      <c r="N2" s="861" t="s">
        <v>543</v>
      </c>
      <c r="O2" s="886" t="s">
        <v>544</v>
      </c>
      <c r="P2" s="862" t="s">
        <v>545</v>
      </c>
    </row>
    <row r="3" spans="1:17" ht="15">
      <c r="A3" s="942"/>
      <c r="B3" s="943">
        <v>1111</v>
      </c>
      <c r="C3" s="790" t="s">
        <v>546</v>
      </c>
      <c r="D3" s="944">
        <v>4000000</v>
      </c>
      <c r="E3" s="944">
        <v>4000000</v>
      </c>
      <c r="F3" s="944">
        <v>2830187.77</v>
      </c>
      <c r="G3" s="944">
        <f>E3-F3+1184607</f>
        <v>2354419.23</v>
      </c>
      <c r="H3" s="944">
        <f>G3+F3</f>
        <v>5184607</v>
      </c>
      <c r="I3" s="945">
        <f>H3-2348647</f>
        <v>2835960</v>
      </c>
      <c r="J3" s="803"/>
      <c r="K3" s="945">
        <v>2776178</v>
      </c>
      <c r="L3" s="945">
        <v>2850000</v>
      </c>
      <c r="M3" s="825">
        <v>3400000</v>
      </c>
      <c r="N3" s="825">
        <v>3500000</v>
      </c>
      <c r="O3" s="825">
        <v>4443000</v>
      </c>
      <c r="P3" s="863">
        <v>5000000</v>
      </c>
      <c r="Q3" s="908" t="s">
        <v>547</v>
      </c>
    </row>
    <row r="4" spans="1:17" ht="15">
      <c r="A4" s="773"/>
      <c r="B4" s="772">
        <v>1112</v>
      </c>
      <c r="C4" s="785" t="s">
        <v>548</v>
      </c>
      <c r="D4" s="784">
        <v>100000</v>
      </c>
      <c r="E4" s="784">
        <v>100000</v>
      </c>
      <c r="F4" s="784">
        <v>33015.269999999997</v>
      </c>
      <c r="G4" s="784">
        <v>44769</v>
      </c>
      <c r="H4" s="784">
        <f t="shared" ref="H4:H22" si="0">G4+F4</f>
        <v>77784.26999999999</v>
      </c>
      <c r="I4" s="802">
        <f t="shared" ref="I4:I20" si="1">H4</f>
        <v>77784.26999999999</v>
      </c>
      <c r="J4" s="803"/>
      <c r="K4" s="802">
        <v>141012</v>
      </c>
      <c r="L4" s="802">
        <v>150000</v>
      </c>
      <c r="M4" s="825">
        <v>300000</v>
      </c>
      <c r="N4" s="825">
        <v>400000</v>
      </c>
      <c r="O4" s="825">
        <v>330000</v>
      </c>
      <c r="P4" s="863">
        <v>350000</v>
      </c>
      <c r="Q4" s="908" t="s">
        <v>549</v>
      </c>
    </row>
    <row r="5" spans="1:17" ht="15">
      <c r="A5" s="773"/>
      <c r="B5" s="772">
        <v>1113</v>
      </c>
      <c r="C5" s="785" t="s">
        <v>550</v>
      </c>
      <c r="D5" s="784">
        <v>390000</v>
      </c>
      <c r="E5" s="784">
        <v>390000</v>
      </c>
      <c r="F5" s="784">
        <v>262113.18</v>
      </c>
      <c r="G5" s="784">
        <f>E5-F5+96150</f>
        <v>224036.82</v>
      </c>
      <c r="H5" s="784">
        <f t="shared" si="0"/>
        <v>486150</v>
      </c>
      <c r="I5" s="802">
        <f t="shared" si="1"/>
        <v>486150</v>
      </c>
      <c r="J5" s="803"/>
      <c r="K5" s="802">
        <v>502179</v>
      </c>
      <c r="L5" s="802">
        <v>530000</v>
      </c>
      <c r="M5" s="825">
        <v>750000</v>
      </c>
      <c r="N5" s="825">
        <v>800000</v>
      </c>
      <c r="O5" s="825">
        <v>1100000</v>
      </c>
      <c r="P5" s="863">
        <v>1100000</v>
      </c>
      <c r="Q5" s="909" t="s">
        <v>551</v>
      </c>
    </row>
    <row r="6" spans="1:17" ht="13">
      <c r="A6" s="773"/>
      <c r="B6" s="772">
        <v>1121</v>
      </c>
      <c r="C6" s="785" t="s">
        <v>552</v>
      </c>
      <c r="D6" s="784">
        <v>3600000</v>
      </c>
      <c r="E6" s="784">
        <v>3600000</v>
      </c>
      <c r="F6" s="784">
        <v>1915530.56</v>
      </c>
      <c r="G6" s="784">
        <f>E6-F6-600000+33576</f>
        <v>1118045.44</v>
      </c>
      <c r="H6" s="784">
        <f t="shared" si="0"/>
        <v>3033576</v>
      </c>
      <c r="I6" s="802">
        <f t="shared" si="1"/>
        <v>3033576</v>
      </c>
      <c r="J6" s="803"/>
      <c r="K6" s="802">
        <v>4519174</v>
      </c>
      <c r="L6" s="802">
        <v>4600000</v>
      </c>
      <c r="M6" s="825">
        <v>5800000</v>
      </c>
      <c r="N6" s="825">
        <v>5800000</v>
      </c>
      <c r="O6" s="825">
        <v>7600000</v>
      </c>
      <c r="P6" s="863">
        <v>8000000</v>
      </c>
    </row>
    <row r="7" spans="1:17" ht="13">
      <c r="A7" s="773"/>
      <c r="B7" s="772">
        <v>1122</v>
      </c>
      <c r="C7" s="785" t="s">
        <v>553</v>
      </c>
      <c r="D7" s="784"/>
      <c r="E7" s="784"/>
      <c r="F7" s="784"/>
      <c r="G7" s="784"/>
      <c r="H7" s="784"/>
      <c r="I7" s="802"/>
      <c r="J7" s="803"/>
      <c r="K7" s="802"/>
      <c r="L7" s="802">
        <v>200000</v>
      </c>
      <c r="M7" s="825">
        <v>620007</v>
      </c>
      <c r="N7" s="825">
        <v>600000</v>
      </c>
      <c r="O7" s="825">
        <v>87000</v>
      </c>
      <c r="P7" s="863">
        <v>100000</v>
      </c>
    </row>
    <row r="8" spans="1:17" ht="13">
      <c r="A8" s="773"/>
      <c r="B8" s="772">
        <v>1211</v>
      </c>
      <c r="C8" s="785" t="s">
        <v>554</v>
      </c>
      <c r="D8" s="784">
        <v>7700000</v>
      </c>
      <c r="E8" s="784">
        <v>7700000</v>
      </c>
      <c r="F8" s="784">
        <v>6046376.75</v>
      </c>
      <c r="G8" s="784">
        <f>E8-F8+2400000+60535</f>
        <v>4114158.25</v>
      </c>
      <c r="H8" s="784">
        <f t="shared" si="0"/>
        <v>10160535</v>
      </c>
      <c r="I8" s="802">
        <f t="shared" si="1"/>
        <v>10160535</v>
      </c>
      <c r="J8" s="803"/>
      <c r="K8" s="802">
        <v>8931306</v>
      </c>
      <c r="L8" s="802">
        <v>9500000</v>
      </c>
      <c r="M8" s="825">
        <v>13000000</v>
      </c>
      <c r="N8" s="825">
        <v>13500000</v>
      </c>
      <c r="O8" s="825">
        <v>15700000</v>
      </c>
      <c r="P8" s="863">
        <v>16500000</v>
      </c>
    </row>
    <row r="9" spans="1:17" ht="13">
      <c r="A9" s="773"/>
      <c r="B9" s="772">
        <v>1334</v>
      </c>
      <c r="C9" s="785" t="s">
        <v>555</v>
      </c>
      <c r="D9" s="784"/>
      <c r="E9" s="784">
        <v>4000</v>
      </c>
      <c r="F9" s="784">
        <v>3689.68</v>
      </c>
      <c r="G9" s="784">
        <f t="shared" ref="G9:G20" si="2">E9-F9</f>
        <v>310.32000000000016</v>
      </c>
      <c r="H9" s="784">
        <f t="shared" si="0"/>
        <v>4000</v>
      </c>
      <c r="I9" s="802">
        <f t="shared" si="1"/>
        <v>4000</v>
      </c>
      <c r="J9" s="803"/>
      <c r="K9" s="802">
        <v>2013</v>
      </c>
      <c r="L9" s="802">
        <v>4000</v>
      </c>
      <c r="M9" s="825">
        <v>29000</v>
      </c>
      <c r="N9" s="825">
        <v>20000</v>
      </c>
      <c r="O9" s="825">
        <v>2000</v>
      </c>
      <c r="P9" s="863">
        <v>2000</v>
      </c>
    </row>
    <row r="10" spans="1:17" ht="13">
      <c r="A10" s="773"/>
      <c r="B10" s="772">
        <v>1341</v>
      </c>
      <c r="C10" s="785" t="s">
        <v>556</v>
      </c>
      <c r="D10" s="784">
        <v>78000</v>
      </c>
      <c r="E10" s="784">
        <v>78000</v>
      </c>
      <c r="F10" s="784">
        <v>72700</v>
      </c>
      <c r="G10" s="784">
        <f t="shared" si="2"/>
        <v>5300</v>
      </c>
      <c r="H10" s="784">
        <f t="shared" si="0"/>
        <v>78000</v>
      </c>
      <c r="I10" s="802">
        <f t="shared" si="1"/>
        <v>78000</v>
      </c>
      <c r="J10" s="803">
        <v>4000</v>
      </c>
      <c r="K10" s="802">
        <v>85050</v>
      </c>
      <c r="L10" s="802">
        <v>86000</v>
      </c>
      <c r="M10" s="825">
        <v>91000</v>
      </c>
      <c r="N10" s="825">
        <v>91000</v>
      </c>
      <c r="O10" s="825">
        <v>85000</v>
      </c>
      <c r="P10" s="863">
        <v>85000</v>
      </c>
    </row>
    <row r="11" spans="1:17" ht="13">
      <c r="A11" s="773"/>
      <c r="B11" s="772">
        <v>1342</v>
      </c>
      <c r="C11" s="785" t="s">
        <v>557</v>
      </c>
      <c r="D11" s="784">
        <v>2000</v>
      </c>
      <c r="E11" s="784">
        <v>3500</v>
      </c>
      <c r="F11" s="784">
        <v>3500</v>
      </c>
      <c r="G11" s="784">
        <f t="shared" si="2"/>
        <v>0</v>
      </c>
      <c r="H11" s="784">
        <f t="shared" si="0"/>
        <v>3500</v>
      </c>
      <c r="I11" s="802">
        <f t="shared" si="1"/>
        <v>3500</v>
      </c>
      <c r="J11" s="803">
        <v>3500</v>
      </c>
      <c r="K11" s="802">
        <v>7000</v>
      </c>
      <c r="L11" s="802">
        <v>7000</v>
      </c>
      <c r="M11" s="825">
        <v>0</v>
      </c>
      <c r="N11" s="825">
        <v>5000</v>
      </c>
      <c r="O11" s="825">
        <v>0</v>
      </c>
      <c r="P11" s="863">
        <v>5000</v>
      </c>
    </row>
    <row r="12" spans="1:17" ht="13">
      <c r="A12" s="773"/>
      <c r="B12" s="772">
        <v>1343</v>
      </c>
      <c r="C12" s="785" t="s">
        <v>558</v>
      </c>
      <c r="D12" s="784">
        <v>40000</v>
      </c>
      <c r="E12" s="784">
        <v>40000</v>
      </c>
      <c r="F12" s="784">
        <v>18730</v>
      </c>
      <c r="G12" s="946">
        <f t="shared" si="2"/>
        <v>21270</v>
      </c>
      <c r="H12" s="784">
        <f t="shared" si="0"/>
        <v>40000</v>
      </c>
      <c r="I12" s="802">
        <f t="shared" si="1"/>
        <v>40000</v>
      </c>
      <c r="J12" s="803"/>
      <c r="K12" s="802">
        <v>37853</v>
      </c>
      <c r="L12" s="802">
        <v>40000</v>
      </c>
      <c r="M12" s="825">
        <v>45000</v>
      </c>
      <c r="N12" s="825">
        <v>45000</v>
      </c>
      <c r="O12" s="825">
        <v>35000</v>
      </c>
      <c r="P12" s="863">
        <v>30000</v>
      </c>
    </row>
    <row r="13" spans="1:17" ht="13">
      <c r="A13" s="773"/>
      <c r="B13" s="772">
        <v>1345</v>
      </c>
      <c r="C13" s="785" t="s">
        <v>559</v>
      </c>
      <c r="D13" s="784"/>
      <c r="E13" s="784"/>
      <c r="F13" s="784"/>
      <c r="G13" s="946"/>
      <c r="H13" s="784"/>
      <c r="I13" s="802"/>
      <c r="J13" s="803"/>
      <c r="K13" s="802"/>
      <c r="L13" s="802"/>
      <c r="M13" s="825">
        <v>2170000</v>
      </c>
      <c r="N13" s="825">
        <v>2480000</v>
      </c>
      <c r="O13" s="825">
        <v>2600000</v>
      </c>
      <c r="P13" s="863">
        <v>2800000</v>
      </c>
    </row>
    <row r="14" spans="1:17" ht="13">
      <c r="A14" s="773"/>
      <c r="B14" s="772">
        <v>1361</v>
      </c>
      <c r="C14" s="785" t="s">
        <v>560</v>
      </c>
      <c r="D14" s="784">
        <v>13000</v>
      </c>
      <c r="E14" s="784">
        <v>13000</v>
      </c>
      <c r="F14" s="784">
        <v>7797</v>
      </c>
      <c r="G14" s="784">
        <f t="shared" si="2"/>
        <v>5203</v>
      </c>
      <c r="H14" s="784">
        <f t="shared" si="0"/>
        <v>13000</v>
      </c>
      <c r="I14" s="802">
        <f t="shared" si="1"/>
        <v>13000</v>
      </c>
      <c r="J14" s="803"/>
      <c r="K14" s="802">
        <v>12340</v>
      </c>
      <c r="L14" s="802">
        <v>13000</v>
      </c>
      <c r="M14" s="825">
        <v>10000</v>
      </c>
      <c r="N14" s="825">
        <v>10000</v>
      </c>
      <c r="O14" s="825">
        <v>10000</v>
      </c>
      <c r="P14" s="863">
        <v>10000</v>
      </c>
    </row>
    <row r="15" spans="1:17" ht="13">
      <c r="A15" s="773"/>
      <c r="B15" s="772">
        <v>1381</v>
      </c>
      <c r="C15" s="785" t="s">
        <v>561</v>
      </c>
      <c r="D15" s="784">
        <v>60000</v>
      </c>
      <c r="E15" s="784">
        <v>70000</v>
      </c>
      <c r="F15" s="784">
        <v>91684.6</v>
      </c>
      <c r="G15" s="946">
        <f>100000-F15</f>
        <v>8315.3999999999942</v>
      </c>
      <c r="H15" s="784">
        <f>G15+F15</f>
        <v>100000</v>
      </c>
      <c r="I15" s="802">
        <f t="shared" si="1"/>
        <v>100000</v>
      </c>
      <c r="J15" s="803"/>
      <c r="K15" s="802">
        <v>140881</v>
      </c>
      <c r="L15" s="802">
        <v>150000</v>
      </c>
      <c r="M15" s="825">
        <v>170000</v>
      </c>
      <c r="N15" s="825">
        <v>180000</v>
      </c>
      <c r="O15" s="825">
        <v>185000</v>
      </c>
      <c r="P15" s="863">
        <v>185000</v>
      </c>
    </row>
    <row r="16" spans="1:17" ht="13">
      <c r="A16" s="773"/>
      <c r="B16" s="772">
        <v>1511</v>
      </c>
      <c r="C16" s="785" t="s">
        <v>562</v>
      </c>
      <c r="D16" s="784">
        <v>600000</v>
      </c>
      <c r="E16" s="784">
        <v>600000</v>
      </c>
      <c r="F16" s="784">
        <v>519740.61</v>
      </c>
      <c r="G16" s="784">
        <f t="shared" si="2"/>
        <v>80259.390000000014</v>
      </c>
      <c r="H16" s="784">
        <f t="shared" si="0"/>
        <v>600000</v>
      </c>
      <c r="I16" s="802">
        <f t="shared" si="1"/>
        <v>600000</v>
      </c>
      <c r="J16" s="803"/>
      <c r="K16" s="802">
        <v>532696</v>
      </c>
      <c r="L16" s="802">
        <v>600000</v>
      </c>
      <c r="M16" s="825">
        <v>550000</v>
      </c>
      <c r="N16" s="825">
        <v>550000</v>
      </c>
      <c r="O16" s="825">
        <v>550000</v>
      </c>
      <c r="P16" s="863">
        <v>550000</v>
      </c>
    </row>
    <row r="17" spans="1:17" ht="13">
      <c r="A17" s="777" t="s">
        <v>563</v>
      </c>
      <c r="B17" s="778"/>
      <c r="C17" s="779"/>
      <c r="D17" s="782">
        <f t="shared" ref="D17:I17" si="3">SUM(D3:D16)</f>
        <v>16583000</v>
      </c>
      <c r="E17" s="782">
        <f t="shared" si="3"/>
        <v>16598500</v>
      </c>
      <c r="F17" s="782">
        <f t="shared" si="3"/>
        <v>11805065.42</v>
      </c>
      <c r="G17" s="782">
        <f t="shared" si="3"/>
        <v>7976086.8500000006</v>
      </c>
      <c r="H17" s="782">
        <f t="shared" si="3"/>
        <v>19781152.27</v>
      </c>
      <c r="I17" s="801">
        <f t="shared" si="3"/>
        <v>17432505.27</v>
      </c>
      <c r="J17" s="864"/>
      <c r="K17" s="801">
        <f t="shared" ref="K17:P17" si="4">SUM(K3:K16)</f>
        <v>17687682</v>
      </c>
      <c r="L17" s="801">
        <f t="shared" si="4"/>
        <v>18730000</v>
      </c>
      <c r="M17" s="865">
        <f t="shared" si="4"/>
        <v>26935007</v>
      </c>
      <c r="N17" s="865">
        <f t="shared" si="4"/>
        <v>27981000</v>
      </c>
      <c r="O17" s="865">
        <f t="shared" si="4"/>
        <v>32727000</v>
      </c>
      <c r="P17" s="889">
        <f t="shared" si="4"/>
        <v>34717000</v>
      </c>
    </row>
    <row r="18" spans="1:17" ht="13">
      <c r="A18" s="942"/>
      <c r="B18" s="943">
        <v>4111</v>
      </c>
      <c r="C18" s="790" t="s">
        <v>564</v>
      </c>
      <c r="D18" s="944"/>
      <c r="E18" s="944">
        <v>2179750</v>
      </c>
      <c r="F18" s="944">
        <v>2148750</v>
      </c>
      <c r="G18" s="944">
        <f t="shared" si="2"/>
        <v>31000</v>
      </c>
      <c r="H18" s="944">
        <f t="shared" si="0"/>
        <v>2179750</v>
      </c>
      <c r="I18" s="945"/>
      <c r="J18" s="866"/>
      <c r="K18" s="945"/>
      <c r="L18" s="945"/>
      <c r="M18" s="855">
        <v>32000</v>
      </c>
      <c r="N18" s="855"/>
      <c r="O18" s="855"/>
      <c r="P18" s="856"/>
    </row>
    <row r="19" spans="1:17" ht="13">
      <c r="A19" s="947"/>
      <c r="B19" s="948">
        <v>4111</v>
      </c>
      <c r="C19" s="807" t="s">
        <v>565</v>
      </c>
      <c r="D19" s="902"/>
      <c r="E19" s="902"/>
      <c r="F19" s="902"/>
      <c r="G19" s="902"/>
      <c r="H19" s="902"/>
      <c r="I19" s="903"/>
      <c r="J19" s="813">
        <v>56543.59</v>
      </c>
      <c r="K19" s="903">
        <v>310545</v>
      </c>
      <c r="L19" s="903"/>
      <c r="M19" s="825">
        <v>95000</v>
      </c>
      <c r="N19" s="825"/>
      <c r="O19" s="825"/>
      <c r="P19" s="863"/>
    </row>
    <row r="20" spans="1:17" ht="13">
      <c r="A20" s="773"/>
      <c r="B20" s="772">
        <v>4112</v>
      </c>
      <c r="C20" s="785" t="s">
        <v>566</v>
      </c>
      <c r="D20" s="784">
        <v>342200</v>
      </c>
      <c r="E20" s="784">
        <v>368000</v>
      </c>
      <c r="F20" s="784">
        <v>245336</v>
      </c>
      <c r="G20" s="784">
        <f t="shared" si="2"/>
        <v>122664</v>
      </c>
      <c r="H20" s="784">
        <f t="shared" si="0"/>
        <v>368000</v>
      </c>
      <c r="I20" s="802">
        <f t="shared" si="1"/>
        <v>368000</v>
      </c>
      <c r="J20" s="809">
        <v>27000</v>
      </c>
      <c r="K20" s="802">
        <v>296253</v>
      </c>
      <c r="L20" s="802">
        <v>368000</v>
      </c>
      <c r="M20" s="825">
        <v>368000</v>
      </c>
      <c r="N20" s="825">
        <v>368000</v>
      </c>
      <c r="O20" s="825">
        <v>368000</v>
      </c>
      <c r="P20" s="863">
        <v>368000</v>
      </c>
    </row>
    <row r="21" spans="1:17" ht="13">
      <c r="A21" s="773"/>
      <c r="B21" s="772">
        <v>4222</v>
      </c>
      <c r="C21" s="949" t="s">
        <v>567</v>
      </c>
      <c r="D21" s="784"/>
      <c r="E21" s="784"/>
      <c r="F21" s="784"/>
      <c r="G21" s="950"/>
      <c r="H21" s="950"/>
      <c r="I21" s="820">
        <v>10000000</v>
      </c>
      <c r="J21" s="803"/>
      <c r="K21" s="802"/>
      <c r="L21" s="802"/>
      <c r="M21" s="825"/>
      <c r="N21" s="825"/>
      <c r="O21" s="825"/>
      <c r="P21" s="863"/>
    </row>
    <row r="22" spans="1:17" ht="13">
      <c r="A22" s="773"/>
      <c r="B22" s="772">
        <v>4139</v>
      </c>
      <c r="C22" s="785" t="s">
        <v>568</v>
      </c>
      <c r="D22" s="784"/>
      <c r="E22" s="784"/>
      <c r="F22" s="784">
        <v>1000</v>
      </c>
      <c r="G22" s="946">
        <v>0</v>
      </c>
      <c r="H22" s="946">
        <f t="shared" si="0"/>
        <v>1000</v>
      </c>
      <c r="I22" s="802"/>
      <c r="J22" s="803"/>
      <c r="K22" s="802"/>
      <c r="L22" s="802"/>
      <c r="M22" s="825"/>
      <c r="N22" s="825"/>
      <c r="O22" s="825"/>
      <c r="P22" s="863"/>
    </row>
    <row r="23" spans="1:17" ht="13">
      <c r="A23" s="1099" t="s">
        <v>569</v>
      </c>
      <c r="B23" s="1100"/>
      <c r="C23" s="1101"/>
      <c r="D23" s="849">
        <f t="shared" ref="D23:I23" si="5">SUM(D18:D22)</f>
        <v>342200</v>
      </c>
      <c r="E23" s="849">
        <f t="shared" si="5"/>
        <v>2547750</v>
      </c>
      <c r="F23" s="849">
        <f t="shared" si="5"/>
        <v>2395086</v>
      </c>
      <c r="G23" s="849">
        <f t="shared" si="5"/>
        <v>153664</v>
      </c>
      <c r="H23" s="849">
        <f t="shared" si="5"/>
        <v>2548750</v>
      </c>
      <c r="I23" s="850">
        <f t="shared" si="5"/>
        <v>10368000</v>
      </c>
      <c r="J23" s="882"/>
      <c r="K23" s="850">
        <f>SUM(K19:K22)</f>
        <v>606798</v>
      </c>
      <c r="L23" s="850">
        <f>SUM(L19:L22)</f>
        <v>368000</v>
      </c>
      <c r="M23" s="852">
        <f>SUM(M18:M22)</f>
        <v>495000</v>
      </c>
      <c r="N23" s="852">
        <f>SUM(N18:N22)</f>
        <v>368000</v>
      </c>
      <c r="O23" s="852">
        <f>SUM(O18:O22)</f>
        <v>368000</v>
      </c>
      <c r="P23" s="888">
        <f>SUM(P18:P22)</f>
        <v>368000</v>
      </c>
    </row>
    <row r="24" spans="1:17" ht="13">
      <c r="A24" s="772">
        <v>1036</v>
      </c>
      <c r="B24" s="772">
        <v>2111</v>
      </c>
      <c r="C24" s="885" t="s">
        <v>570</v>
      </c>
      <c r="D24" s="783"/>
      <c r="E24" s="783"/>
      <c r="F24" s="783"/>
      <c r="G24" s="783"/>
      <c r="H24" s="783"/>
      <c r="I24" s="783"/>
      <c r="J24" s="803"/>
      <c r="K24" s="783"/>
      <c r="L24" s="783"/>
      <c r="M24" s="884"/>
      <c r="N24" s="884"/>
      <c r="O24" s="825">
        <v>60000</v>
      </c>
      <c r="P24" s="825"/>
    </row>
    <row r="25" spans="1:17" ht="13">
      <c r="A25" s="947">
        <v>2310</v>
      </c>
      <c r="B25" s="948">
        <v>2132</v>
      </c>
      <c r="C25" s="807" t="s">
        <v>571</v>
      </c>
      <c r="D25" s="902">
        <v>40000</v>
      </c>
      <c r="E25" s="902">
        <v>40000</v>
      </c>
      <c r="F25" s="902"/>
      <c r="G25" s="902">
        <f>E25-F25</f>
        <v>40000</v>
      </c>
      <c r="H25" s="902">
        <f t="shared" ref="H25:H40" si="6">G25+F25</f>
        <v>40000</v>
      </c>
      <c r="I25" s="903">
        <f>H25</f>
        <v>40000</v>
      </c>
      <c r="J25" s="860"/>
      <c r="K25" s="903"/>
      <c r="L25" s="903">
        <v>40000</v>
      </c>
      <c r="M25" s="853">
        <v>40000</v>
      </c>
      <c r="N25" s="853">
        <v>40000</v>
      </c>
      <c r="O25" s="853">
        <v>260000</v>
      </c>
      <c r="P25" s="883">
        <v>250000</v>
      </c>
    </row>
    <row r="26" spans="1:17" ht="13">
      <c r="A26" s="773">
        <v>2329</v>
      </c>
      <c r="B26" s="772">
        <v>2111</v>
      </c>
      <c r="C26" s="785" t="s">
        <v>572</v>
      </c>
      <c r="D26" s="784">
        <v>4300000</v>
      </c>
      <c r="E26" s="784">
        <v>4300000</v>
      </c>
      <c r="F26" s="784">
        <v>3712414.18</v>
      </c>
      <c r="G26" s="784">
        <f>E26-F26</f>
        <v>587585.81999999983</v>
      </c>
      <c r="H26" s="784">
        <f t="shared" si="6"/>
        <v>4300000</v>
      </c>
      <c r="I26" s="802">
        <f>H26</f>
        <v>4300000</v>
      </c>
      <c r="J26" s="803"/>
      <c r="K26" s="802">
        <v>2205174</v>
      </c>
      <c r="L26" s="802">
        <v>4300000</v>
      </c>
      <c r="M26" s="825">
        <v>4400000</v>
      </c>
      <c r="N26" s="825">
        <v>4400000</v>
      </c>
      <c r="O26" s="825">
        <v>4400000</v>
      </c>
      <c r="P26" s="863">
        <v>5000000</v>
      </c>
    </row>
    <row r="27" spans="1:17" ht="13">
      <c r="A27" s="773">
        <v>3111</v>
      </c>
      <c r="B27" s="772">
        <v>2111</v>
      </c>
      <c r="C27" s="785" t="s">
        <v>573</v>
      </c>
      <c r="D27" s="784"/>
      <c r="E27" s="784"/>
      <c r="F27" s="784"/>
      <c r="G27" s="784"/>
      <c r="H27" s="784"/>
      <c r="I27" s="802"/>
      <c r="J27" s="803"/>
      <c r="K27" s="802">
        <v>11437</v>
      </c>
      <c r="L27" s="802">
        <v>30000</v>
      </c>
      <c r="M27" s="825">
        <v>40000</v>
      </c>
      <c r="N27" s="825">
        <v>40000</v>
      </c>
      <c r="O27" s="825">
        <v>40000</v>
      </c>
      <c r="P27" s="863">
        <v>40000</v>
      </c>
    </row>
    <row r="28" spans="1:17" ht="13">
      <c r="A28" s="773">
        <v>3613</v>
      </c>
      <c r="B28" s="772">
        <v>2132</v>
      </c>
      <c r="C28" s="785" t="s">
        <v>574</v>
      </c>
      <c r="D28" s="784">
        <v>10000</v>
      </c>
      <c r="E28" s="784">
        <v>10000</v>
      </c>
      <c r="F28" s="784">
        <v>2000</v>
      </c>
      <c r="G28" s="784">
        <f>E28-F28</f>
        <v>8000</v>
      </c>
      <c r="H28" s="784">
        <f>G28+F28</f>
        <v>10000</v>
      </c>
      <c r="I28" s="802">
        <f t="shared" ref="I28:I40" si="7">H28</f>
        <v>10000</v>
      </c>
      <c r="J28" s="803"/>
      <c r="K28" s="802">
        <v>10000</v>
      </c>
      <c r="L28" s="802">
        <v>10000</v>
      </c>
      <c r="M28" s="825">
        <v>20000</v>
      </c>
      <c r="N28" s="825">
        <v>20000</v>
      </c>
      <c r="O28" s="825">
        <v>21000</v>
      </c>
      <c r="P28" s="863">
        <v>20000</v>
      </c>
    </row>
    <row r="29" spans="1:17" ht="13">
      <c r="A29" s="773">
        <v>3631</v>
      </c>
      <c r="B29" s="772">
        <v>2111</v>
      </c>
      <c r="C29" s="785" t="s">
        <v>575</v>
      </c>
      <c r="D29" s="784"/>
      <c r="E29" s="784">
        <v>20000</v>
      </c>
      <c r="F29" s="784">
        <v>34000</v>
      </c>
      <c r="G29" s="784">
        <v>0</v>
      </c>
      <c r="H29" s="784">
        <f>G29+F29</f>
        <v>34000</v>
      </c>
      <c r="I29" s="802">
        <f t="shared" si="7"/>
        <v>34000</v>
      </c>
      <c r="J29" s="803">
        <v>155000</v>
      </c>
      <c r="K29" s="802">
        <v>198000</v>
      </c>
      <c r="L29" s="802"/>
      <c r="M29" s="825">
        <v>10000</v>
      </c>
      <c r="N29" s="825"/>
      <c r="O29" s="825"/>
      <c r="P29" s="863"/>
    </row>
    <row r="30" spans="1:17" ht="13">
      <c r="A30" s="773">
        <v>3639</v>
      </c>
      <c r="B30" s="772">
        <v>2119</v>
      </c>
      <c r="C30" s="785" t="s">
        <v>576</v>
      </c>
      <c r="D30" s="784"/>
      <c r="E30" s="784"/>
      <c r="F30" s="784"/>
      <c r="G30" s="784"/>
      <c r="H30" s="784"/>
      <c r="I30" s="802"/>
      <c r="J30" s="803"/>
      <c r="K30" s="802"/>
      <c r="L30" s="802"/>
      <c r="M30" s="825"/>
      <c r="N30" s="825"/>
      <c r="O30" s="825">
        <v>27000</v>
      </c>
      <c r="P30" s="863"/>
    </row>
    <row r="31" spans="1:17" ht="13">
      <c r="A31" s="773">
        <v>3639</v>
      </c>
      <c r="B31" s="772">
        <v>2131</v>
      </c>
      <c r="C31" s="785" t="s">
        <v>577</v>
      </c>
      <c r="D31" s="784"/>
      <c r="E31" s="784">
        <v>218000</v>
      </c>
      <c r="F31" s="784">
        <v>217922</v>
      </c>
      <c r="G31" s="784">
        <f>E31-F31</f>
        <v>78</v>
      </c>
      <c r="H31" s="784">
        <f t="shared" si="6"/>
        <v>218000</v>
      </c>
      <c r="I31" s="802">
        <f t="shared" si="7"/>
        <v>218000</v>
      </c>
      <c r="J31" s="803"/>
      <c r="K31" s="802"/>
      <c r="L31" s="802"/>
      <c r="M31" s="825">
        <v>15000</v>
      </c>
      <c r="N31" s="825"/>
      <c r="O31" s="825">
        <v>9000</v>
      </c>
      <c r="P31" s="863"/>
    </row>
    <row r="32" spans="1:17" ht="13">
      <c r="A32" s="892">
        <v>3639</v>
      </c>
      <c r="B32" s="893">
        <v>3111</v>
      </c>
      <c r="C32" s="894" t="s">
        <v>578</v>
      </c>
      <c r="D32" s="895"/>
      <c r="E32" s="895"/>
      <c r="F32" s="895"/>
      <c r="G32" s="895"/>
      <c r="H32" s="895"/>
      <c r="I32" s="896"/>
      <c r="J32" s="897"/>
      <c r="K32" s="896"/>
      <c r="L32" s="896"/>
      <c r="M32" s="898"/>
      <c r="N32" s="898"/>
      <c r="O32" s="898"/>
      <c r="P32" s="899">
        <v>24000000</v>
      </c>
      <c r="Q32" t="s">
        <v>579</v>
      </c>
    </row>
    <row r="33" spans="1:17" ht="13">
      <c r="A33" s="773">
        <v>3725</v>
      </c>
      <c r="B33" s="772">
        <v>2111</v>
      </c>
      <c r="C33" s="785" t="s">
        <v>580</v>
      </c>
      <c r="D33" s="784">
        <v>320000</v>
      </c>
      <c r="E33" s="784">
        <v>320000</v>
      </c>
      <c r="F33" s="784">
        <v>233974</v>
      </c>
      <c r="G33" s="784">
        <f>E33-F33</f>
        <v>86026</v>
      </c>
      <c r="H33" s="784">
        <f t="shared" si="6"/>
        <v>320000</v>
      </c>
      <c r="I33" s="802">
        <f t="shared" si="7"/>
        <v>320000</v>
      </c>
      <c r="J33" s="803"/>
      <c r="K33" s="802">
        <v>266159</v>
      </c>
      <c r="L33" s="802">
        <v>320000</v>
      </c>
      <c r="M33" s="825">
        <v>320000</v>
      </c>
      <c r="N33" s="825">
        <v>400000</v>
      </c>
      <c r="O33" s="825">
        <v>400000</v>
      </c>
      <c r="P33" s="863">
        <v>450000</v>
      </c>
    </row>
    <row r="34" spans="1:17" ht="13">
      <c r="A34" s="773">
        <v>3726</v>
      </c>
      <c r="B34" s="772">
        <v>2111</v>
      </c>
      <c r="C34" s="785" t="s">
        <v>581</v>
      </c>
      <c r="D34" s="784">
        <v>260000</v>
      </c>
      <c r="E34" s="784">
        <v>320000</v>
      </c>
      <c r="F34" s="784">
        <v>322156</v>
      </c>
      <c r="G34" s="784">
        <v>0</v>
      </c>
      <c r="H34" s="784">
        <f t="shared" si="6"/>
        <v>322156</v>
      </c>
      <c r="I34" s="802">
        <v>400000</v>
      </c>
      <c r="J34" s="803">
        <v>5000</v>
      </c>
      <c r="K34" s="802">
        <v>421161</v>
      </c>
      <c r="L34" s="802">
        <v>430000</v>
      </c>
      <c r="M34" s="825">
        <v>470000</v>
      </c>
      <c r="N34" s="825">
        <v>480000</v>
      </c>
      <c r="O34" s="825">
        <v>490000</v>
      </c>
      <c r="P34" s="863">
        <v>530000</v>
      </c>
    </row>
    <row r="35" spans="1:17" ht="13">
      <c r="A35" s="773">
        <v>6171</v>
      </c>
      <c r="B35" s="772">
        <v>2111</v>
      </c>
      <c r="C35" s="785" t="s">
        <v>582</v>
      </c>
      <c r="D35" s="784">
        <v>1000</v>
      </c>
      <c r="E35" s="784">
        <v>4500</v>
      </c>
      <c r="F35" s="784">
        <v>14412</v>
      </c>
      <c r="G35" s="784">
        <v>0</v>
      </c>
      <c r="H35" s="784">
        <f t="shared" si="6"/>
        <v>14412</v>
      </c>
      <c r="I35" s="802">
        <f t="shared" si="7"/>
        <v>14412</v>
      </c>
      <c r="J35" s="803"/>
      <c r="K35" s="802">
        <v>3034</v>
      </c>
      <c r="L35" s="802">
        <v>5000</v>
      </c>
      <c r="M35" s="825">
        <v>6000</v>
      </c>
      <c r="N35" s="825">
        <v>5000</v>
      </c>
      <c r="O35" s="825">
        <v>2000</v>
      </c>
      <c r="P35" s="863">
        <v>5000</v>
      </c>
    </row>
    <row r="36" spans="1:17" ht="13">
      <c r="A36" s="773">
        <v>6171</v>
      </c>
      <c r="B36" s="772">
        <v>2112</v>
      </c>
      <c r="C36" s="785" t="s">
        <v>583</v>
      </c>
      <c r="D36" s="784">
        <v>5000</v>
      </c>
      <c r="E36" s="784">
        <v>5000</v>
      </c>
      <c r="F36" s="784">
        <v>3850</v>
      </c>
      <c r="G36" s="784">
        <f>E36-F36</f>
        <v>1150</v>
      </c>
      <c r="H36" s="784">
        <f t="shared" si="6"/>
        <v>5000</v>
      </c>
      <c r="I36" s="802">
        <f t="shared" si="7"/>
        <v>5000</v>
      </c>
      <c r="J36" s="803"/>
      <c r="K36" s="802">
        <v>3862</v>
      </c>
      <c r="L36" s="802">
        <v>5000</v>
      </c>
      <c r="M36" s="825">
        <v>39000</v>
      </c>
      <c r="N36" s="825">
        <v>5000</v>
      </c>
      <c r="O36" s="825">
        <v>2000</v>
      </c>
      <c r="P36" s="863">
        <v>2000</v>
      </c>
    </row>
    <row r="37" spans="1:17" ht="13">
      <c r="A37" s="773">
        <v>6171</v>
      </c>
      <c r="B37" s="772">
        <v>2132</v>
      </c>
      <c r="C37" s="785" t="s">
        <v>584</v>
      </c>
      <c r="D37" s="784">
        <v>2000</v>
      </c>
      <c r="E37" s="784">
        <v>2000</v>
      </c>
      <c r="F37" s="784"/>
      <c r="G37" s="784">
        <f>E37-F37</f>
        <v>2000</v>
      </c>
      <c r="H37" s="784">
        <f>G37+F37</f>
        <v>2000</v>
      </c>
      <c r="I37" s="802">
        <f t="shared" si="7"/>
        <v>2000</v>
      </c>
      <c r="J37" s="803"/>
      <c r="K37" s="802">
        <v>1212</v>
      </c>
      <c r="L37" s="802">
        <v>2000</v>
      </c>
      <c r="M37" s="825"/>
      <c r="N37" s="825"/>
      <c r="O37" s="825"/>
      <c r="P37" s="863"/>
    </row>
    <row r="38" spans="1:17" ht="13">
      <c r="A38" s="773">
        <v>6171</v>
      </c>
      <c r="B38" s="772">
        <v>2212</v>
      </c>
      <c r="C38" s="785" t="s">
        <v>585</v>
      </c>
      <c r="D38" s="784"/>
      <c r="E38" s="784">
        <v>500</v>
      </c>
      <c r="F38" s="784">
        <v>1500</v>
      </c>
      <c r="G38" s="784">
        <v>0</v>
      </c>
      <c r="H38" s="784">
        <f t="shared" si="6"/>
        <v>1500</v>
      </c>
      <c r="I38" s="802">
        <f t="shared" si="7"/>
        <v>1500</v>
      </c>
      <c r="J38" s="803"/>
      <c r="K38" s="802">
        <v>5000</v>
      </c>
      <c r="L38" s="802">
        <v>1500</v>
      </c>
      <c r="M38" s="825"/>
      <c r="N38" s="825">
        <v>2000</v>
      </c>
      <c r="O38" s="825">
        <v>1000</v>
      </c>
      <c r="P38" s="863">
        <v>10000</v>
      </c>
    </row>
    <row r="39" spans="1:17" ht="13">
      <c r="A39" s="892">
        <v>6171</v>
      </c>
      <c r="B39" s="893">
        <v>3113</v>
      </c>
      <c r="C39" s="894" t="s">
        <v>586</v>
      </c>
      <c r="D39" s="895"/>
      <c r="E39" s="895"/>
      <c r="F39" s="895"/>
      <c r="G39" s="895"/>
      <c r="H39" s="895"/>
      <c r="I39" s="896"/>
      <c r="J39" s="897"/>
      <c r="K39" s="896"/>
      <c r="L39" s="896"/>
      <c r="M39" s="898"/>
      <c r="N39" s="898"/>
      <c r="O39" s="898"/>
      <c r="P39" s="899"/>
    </row>
    <row r="40" spans="1:17" ht="13">
      <c r="A40" s="773">
        <v>6310</v>
      </c>
      <c r="B40" s="772">
        <v>2141</v>
      </c>
      <c r="C40" s="785" t="s">
        <v>587</v>
      </c>
      <c r="D40" s="784">
        <v>500</v>
      </c>
      <c r="E40" s="784">
        <v>500</v>
      </c>
      <c r="F40" s="784"/>
      <c r="G40" s="784">
        <f>E40-F40</f>
        <v>500</v>
      </c>
      <c r="H40" s="784">
        <f t="shared" si="6"/>
        <v>500</v>
      </c>
      <c r="I40" s="802">
        <f t="shared" si="7"/>
        <v>500</v>
      </c>
      <c r="J40" s="803"/>
      <c r="K40" s="802"/>
      <c r="L40" s="802">
        <v>500</v>
      </c>
      <c r="M40" s="825">
        <v>930000</v>
      </c>
      <c r="N40" s="825">
        <v>1872000</v>
      </c>
      <c r="O40" s="825">
        <v>2300000</v>
      </c>
      <c r="P40" s="863">
        <v>1500000</v>
      </c>
    </row>
    <row r="41" spans="1:17" ht="13">
      <c r="A41" s="1099" t="s">
        <v>588</v>
      </c>
      <c r="B41" s="1100"/>
      <c r="C41" s="1101"/>
      <c r="D41" s="849">
        <f t="shared" ref="D41:I41" si="8">SUM(D25:D40)</f>
        <v>4938500</v>
      </c>
      <c r="E41" s="849">
        <f t="shared" si="8"/>
        <v>5240500</v>
      </c>
      <c r="F41" s="951">
        <f t="shared" si="8"/>
        <v>4542228.18</v>
      </c>
      <c r="G41" s="951">
        <f t="shared" si="8"/>
        <v>725339.81999999983</v>
      </c>
      <c r="H41" s="951">
        <f t="shared" si="8"/>
        <v>5267568</v>
      </c>
      <c r="I41" s="850">
        <f t="shared" si="8"/>
        <v>5345412</v>
      </c>
      <c r="J41" s="851"/>
      <c r="K41" s="850">
        <f t="shared" ref="K41:N41" si="9">SUM(K25:K40)</f>
        <v>3125039</v>
      </c>
      <c r="L41" s="850">
        <f t="shared" si="9"/>
        <v>5144000</v>
      </c>
      <c r="M41" s="852">
        <f t="shared" si="9"/>
        <v>6290000</v>
      </c>
      <c r="N41" s="852">
        <f t="shared" si="9"/>
        <v>7264000</v>
      </c>
      <c r="O41" s="852">
        <f>SUM(O24:O40)</f>
        <v>8012000</v>
      </c>
      <c r="P41" s="888">
        <f>SUM(P24:P40)-P32-P39</f>
        <v>7807000</v>
      </c>
    </row>
    <row r="42" spans="1:17" ht="13">
      <c r="A42" s="1102" t="s">
        <v>589</v>
      </c>
      <c r="B42" s="1103"/>
      <c r="C42" s="1104"/>
      <c r="D42" s="782" t="e">
        <f>#REF!</f>
        <v>#REF!</v>
      </c>
      <c r="E42" s="782" t="e">
        <f>#REF!</f>
        <v>#REF!</v>
      </c>
      <c r="F42" s="782" t="e">
        <f>#REF!</f>
        <v>#REF!</v>
      </c>
      <c r="G42" s="782" t="e">
        <f>#REF!</f>
        <v>#REF!</v>
      </c>
      <c r="H42" s="782" t="e">
        <f>G42+F42</f>
        <v>#REF!</v>
      </c>
      <c r="I42" s="791" t="e">
        <f>#REF!</f>
        <v>#REF!</v>
      </c>
      <c r="J42" s="857"/>
      <c r="K42" s="791"/>
      <c r="L42" s="822"/>
      <c r="M42" s="858"/>
      <c r="N42" s="858">
        <f>N32+N39</f>
        <v>0</v>
      </c>
      <c r="O42" s="858">
        <f>O32+O39</f>
        <v>0</v>
      </c>
      <c r="P42" s="859">
        <f>P32+P39</f>
        <v>24000000</v>
      </c>
    </row>
    <row r="43" spans="1:17" ht="13">
      <c r="A43" s="1105" t="s">
        <v>590</v>
      </c>
      <c r="B43" s="1106"/>
      <c r="C43" s="1107"/>
      <c r="D43" s="793" t="e">
        <f t="shared" ref="D43:I43" si="10">D17+D23+D41+D42</f>
        <v>#REF!</v>
      </c>
      <c r="E43" s="793" t="e">
        <f t="shared" si="10"/>
        <v>#REF!</v>
      </c>
      <c r="F43" s="793" t="e">
        <f t="shared" si="10"/>
        <v>#REF!</v>
      </c>
      <c r="G43" s="793" t="e">
        <f t="shared" si="10"/>
        <v>#REF!</v>
      </c>
      <c r="H43" s="793" t="e">
        <f t="shared" si="10"/>
        <v>#REF!</v>
      </c>
      <c r="I43" s="794" t="e">
        <f t="shared" si="10"/>
        <v>#REF!</v>
      </c>
      <c r="J43" s="814"/>
      <c r="K43" s="794">
        <f>K17+K23+K41</f>
        <v>21419519</v>
      </c>
      <c r="L43" s="823">
        <f>L17+L23+L41</f>
        <v>24242000</v>
      </c>
      <c r="M43" s="827">
        <f>M17+M23+M41+M42</f>
        <v>33720007</v>
      </c>
      <c r="N43" s="827">
        <f>N17+N23+N41+N42</f>
        <v>35613000</v>
      </c>
      <c r="O43" s="828">
        <f>O17+O23+O41+O42</f>
        <v>41107000</v>
      </c>
      <c r="P43" s="907">
        <f>P17+P23+P41+P42</f>
        <v>66892000</v>
      </c>
      <c r="Q43" s="3"/>
    </row>
    <row r="44" spans="1:17" ht="13">
      <c r="A44" s="952"/>
      <c r="B44" s="952"/>
      <c r="C44" s="788"/>
      <c r="D44" s="787"/>
      <c r="E44" s="787"/>
      <c r="F44" s="787"/>
      <c r="G44" s="953"/>
      <c r="H44" s="954"/>
      <c r="I44" s="954"/>
      <c r="J44" s="795"/>
      <c r="K44" s="954"/>
      <c r="L44" s="954"/>
      <c r="M44" s="826"/>
      <c r="N44" s="826"/>
    </row>
    <row r="45" spans="1:17" ht="13" customHeight="1">
      <c r="A45" s="867"/>
      <c r="B45" s="955">
        <v>8123</v>
      </c>
      <c r="C45" s="868" t="s">
        <v>591</v>
      </c>
      <c r="D45" s="869"/>
      <c r="E45" s="869"/>
      <c r="F45" s="869"/>
      <c r="G45" s="869"/>
      <c r="H45" s="869"/>
      <c r="I45" s="869"/>
      <c r="J45" s="854" t="s">
        <v>592</v>
      </c>
      <c r="K45" s="869"/>
      <c r="L45" s="870"/>
      <c r="M45" s="871"/>
      <c r="N45" s="871"/>
      <c r="O45" s="855"/>
      <c r="P45" s="856"/>
    </row>
    <row r="46" spans="1:17" ht="13">
      <c r="A46" s="872">
        <v>8115</v>
      </c>
      <c r="B46" s="873">
        <v>8115</v>
      </c>
      <c r="C46" s="874" t="s">
        <v>593</v>
      </c>
      <c r="D46" s="875">
        <f>11600200+10650000+200000+850000</f>
        <v>23300200</v>
      </c>
      <c r="E46" s="875">
        <v>25571150</v>
      </c>
      <c r="F46" s="875">
        <f>16406358.89+45150</f>
        <v>16451508.890000001</v>
      </c>
      <c r="G46" s="875" t="e">
        <f>-(G43-G175)</f>
        <v>#REF!</v>
      </c>
      <c r="H46" s="875" t="e">
        <f>-(H43-H175)</f>
        <v>#REF!</v>
      </c>
      <c r="I46" s="875" t="e">
        <f>-(I43-I175)</f>
        <v>#REF!</v>
      </c>
      <c r="J46" s="864">
        <v>-51105.41</v>
      </c>
      <c r="K46" s="875"/>
      <c r="L46" s="875">
        <v>11233929</v>
      </c>
      <c r="M46" s="876">
        <f>M175-M43</f>
        <v>-12518900</v>
      </c>
      <c r="N46" s="876">
        <f>N175-N43</f>
        <v>1576100</v>
      </c>
      <c r="O46" s="876">
        <v>-6856105</v>
      </c>
      <c r="P46" s="877">
        <v>33991000</v>
      </c>
      <c r="Q46" s="984"/>
    </row>
    <row r="47" spans="1:17" ht="13">
      <c r="A47" s="1108" t="s">
        <v>594</v>
      </c>
      <c r="B47" s="1109"/>
      <c r="C47" s="1110"/>
      <c r="D47" s="793" t="e">
        <f t="shared" ref="D47:I47" si="11">SUM(D43:D46)</f>
        <v>#REF!</v>
      </c>
      <c r="E47" s="793" t="e">
        <f t="shared" si="11"/>
        <v>#REF!</v>
      </c>
      <c r="F47" s="793" t="e">
        <f t="shared" si="11"/>
        <v>#REF!</v>
      </c>
      <c r="G47" s="793" t="e">
        <f t="shared" si="11"/>
        <v>#REF!</v>
      </c>
      <c r="H47" s="793" t="e">
        <f t="shared" si="11"/>
        <v>#REF!</v>
      </c>
      <c r="I47" s="794" t="e">
        <f t="shared" si="11"/>
        <v>#REF!</v>
      </c>
      <c r="J47" s="815"/>
      <c r="K47" s="794">
        <f>SUM(K43:K46)</f>
        <v>21419519</v>
      </c>
      <c r="L47" s="823">
        <f>SUM(L43:L46)</f>
        <v>35475929</v>
      </c>
      <c r="M47" s="878">
        <f>SUM(M43:M46)</f>
        <v>21201107</v>
      </c>
      <c r="N47" s="878">
        <f>SUM(N43:N46)</f>
        <v>37189100</v>
      </c>
      <c r="O47" s="887">
        <f>O43+O45+O46</f>
        <v>34250895</v>
      </c>
      <c r="P47" s="879">
        <f>P43+P45+P46</f>
        <v>100883000</v>
      </c>
      <c r="Q47" s="984"/>
    </row>
    <row r="48" spans="1:17" ht="13.5" customHeight="1">
      <c r="A48" s="487"/>
      <c r="B48" s="487"/>
      <c r="C48" s="487"/>
      <c r="D48" s="789"/>
      <c r="E48" s="789"/>
      <c r="F48" s="789"/>
      <c r="G48" s="789"/>
      <c r="H48" s="789"/>
      <c r="I48" s="789"/>
      <c r="J48" s="900"/>
      <c r="K48" s="789"/>
      <c r="L48" s="789"/>
      <c r="M48" s="831"/>
      <c r="N48" s="831"/>
    </row>
    <row r="49" spans="1:17" ht="13">
      <c r="A49" s="771"/>
      <c r="B49" s="771"/>
      <c r="C49" s="786"/>
      <c r="D49" s="787"/>
      <c r="E49" s="787"/>
      <c r="F49" s="787"/>
      <c r="G49" s="787"/>
      <c r="H49" s="787"/>
      <c r="I49" s="787"/>
      <c r="J49" s="795"/>
      <c r="K49" s="787"/>
      <c r="L49" s="787"/>
      <c r="M49" s="826"/>
      <c r="N49" s="826"/>
    </row>
    <row r="50" spans="1:17" ht="16">
      <c r="A50" s="808" t="s">
        <v>595</v>
      </c>
      <c r="B50" s="952"/>
      <c r="C50" s="953"/>
      <c r="D50" s="789"/>
      <c r="E50" s="789"/>
      <c r="F50" s="789"/>
      <c r="G50" s="789"/>
      <c r="H50" s="789"/>
      <c r="I50" s="789"/>
      <c r="J50" s="795"/>
      <c r="K50" s="789"/>
      <c r="L50" s="789"/>
      <c r="M50" s="826"/>
      <c r="N50" s="826"/>
    </row>
    <row r="51" spans="1:17" ht="13">
      <c r="A51" s="772">
        <v>1036</v>
      </c>
      <c r="B51" s="772">
        <v>5169</v>
      </c>
      <c r="C51" s="785" t="s">
        <v>596</v>
      </c>
      <c r="D51" s="784"/>
      <c r="E51" s="784"/>
      <c r="F51" s="784"/>
      <c r="G51" s="784"/>
      <c r="H51" s="784"/>
      <c r="I51" s="784"/>
      <c r="J51" s="803"/>
      <c r="K51" s="784"/>
      <c r="L51" s="784"/>
      <c r="M51" s="825"/>
      <c r="N51" s="825"/>
      <c r="O51" s="825">
        <v>95000</v>
      </c>
      <c r="P51" s="825"/>
    </row>
    <row r="52" spans="1:17" ht="13">
      <c r="A52" s="947">
        <v>2212</v>
      </c>
      <c r="B52" s="948">
        <v>5171</v>
      </c>
      <c r="C52" s="807" t="s">
        <v>597</v>
      </c>
      <c r="D52" s="902">
        <v>100000</v>
      </c>
      <c r="E52" s="902">
        <v>850000</v>
      </c>
      <c r="F52" s="902">
        <v>48062</v>
      </c>
      <c r="G52" s="956" t="e">
        <f>#REF!+320000-8943</f>
        <v>#REF!</v>
      </c>
      <c r="H52" s="902" t="e">
        <f>(G52+F52)</f>
        <v>#REF!</v>
      </c>
      <c r="I52" s="903">
        <v>50000</v>
      </c>
      <c r="J52" s="904">
        <v>800000</v>
      </c>
      <c r="K52" s="903">
        <v>1005157</v>
      </c>
      <c r="L52" s="903">
        <v>100000</v>
      </c>
      <c r="M52" s="853">
        <v>100000</v>
      </c>
      <c r="N52" s="853">
        <v>500000</v>
      </c>
      <c r="O52" s="853">
        <v>6500000</v>
      </c>
      <c r="P52" s="883">
        <v>12000000</v>
      </c>
      <c r="Q52" s="979" t="s">
        <v>598</v>
      </c>
    </row>
    <row r="53" spans="1:17" ht="13">
      <c r="A53" s="773">
        <v>2219</v>
      </c>
      <c r="B53" s="772">
        <v>5171</v>
      </c>
      <c r="C53" s="785" t="s">
        <v>599</v>
      </c>
      <c r="D53" s="784"/>
      <c r="E53" s="784">
        <v>400000</v>
      </c>
      <c r="F53" s="784"/>
      <c r="G53" s="784">
        <v>0</v>
      </c>
      <c r="H53" s="784">
        <f>G53+F53</f>
        <v>0</v>
      </c>
      <c r="I53" s="802">
        <v>50000</v>
      </c>
      <c r="J53" s="810"/>
      <c r="K53" s="802">
        <v>8803</v>
      </c>
      <c r="L53" s="802">
        <v>100000</v>
      </c>
      <c r="M53" s="825">
        <v>170000</v>
      </c>
      <c r="N53" s="825">
        <v>100000</v>
      </c>
      <c r="O53" s="825"/>
      <c r="P53" s="863"/>
    </row>
    <row r="54" spans="1:17" ht="13">
      <c r="A54" s="773">
        <v>2221</v>
      </c>
      <c r="B54" s="772">
        <v>5323</v>
      </c>
      <c r="C54" s="785" t="s">
        <v>600</v>
      </c>
      <c r="D54" s="784">
        <v>900000</v>
      </c>
      <c r="E54" s="784">
        <v>900000</v>
      </c>
      <c r="F54" s="784">
        <v>471613.32</v>
      </c>
      <c r="G54" s="784">
        <f t="shared" ref="G54:G96" si="12">E54-F54</f>
        <v>428386.68</v>
      </c>
      <c r="H54" s="784">
        <f t="shared" ref="H54:H114" si="13">G54+F54</f>
        <v>900000</v>
      </c>
      <c r="I54" s="802">
        <f>H54</f>
        <v>900000</v>
      </c>
      <c r="J54" s="810"/>
      <c r="K54" s="802">
        <v>794805</v>
      </c>
      <c r="L54" s="802">
        <v>900000</v>
      </c>
      <c r="M54" s="825">
        <v>900000</v>
      </c>
      <c r="N54" s="825">
        <v>900000</v>
      </c>
      <c r="O54" s="825">
        <v>900000</v>
      </c>
      <c r="P54" s="863">
        <v>900000</v>
      </c>
    </row>
    <row r="55" spans="1:17" ht="13">
      <c r="A55" s="773">
        <v>2223</v>
      </c>
      <c r="B55" s="772">
        <v>5139</v>
      </c>
      <c r="C55" s="785" t="s">
        <v>601</v>
      </c>
      <c r="D55" s="784"/>
      <c r="E55" s="784"/>
      <c r="F55" s="784"/>
      <c r="G55" s="784"/>
      <c r="H55" s="784"/>
      <c r="I55" s="802"/>
      <c r="J55" s="810"/>
      <c r="K55" s="802"/>
      <c r="L55" s="802"/>
      <c r="M55" s="825"/>
      <c r="N55" s="825"/>
      <c r="O55" s="825">
        <v>60000</v>
      </c>
      <c r="P55" s="863"/>
    </row>
    <row r="56" spans="1:17" ht="13">
      <c r="A56" s="773">
        <v>2223</v>
      </c>
      <c r="B56" s="772">
        <v>5169</v>
      </c>
      <c r="C56" s="785" t="s">
        <v>602</v>
      </c>
      <c r="D56" s="784"/>
      <c r="E56" s="784"/>
      <c r="F56" s="784"/>
      <c r="G56" s="784"/>
      <c r="H56" s="784"/>
      <c r="I56" s="802"/>
      <c r="J56" s="810"/>
      <c r="K56" s="802"/>
      <c r="L56" s="802"/>
      <c r="M56" s="825"/>
      <c r="N56" s="825"/>
      <c r="O56" s="825">
        <v>200000</v>
      </c>
      <c r="P56" s="863"/>
    </row>
    <row r="57" spans="1:17" ht="13">
      <c r="A57" s="773">
        <v>2223</v>
      </c>
      <c r="B57" s="772">
        <v>5171</v>
      </c>
      <c r="C57" s="785" t="s">
        <v>603</v>
      </c>
      <c r="D57" s="784">
        <v>20000</v>
      </c>
      <c r="E57" s="784">
        <v>20000</v>
      </c>
      <c r="F57" s="784"/>
      <c r="G57" s="784">
        <f t="shared" si="12"/>
        <v>20000</v>
      </c>
      <c r="H57" s="784">
        <f t="shared" si="13"/>
        <v>20000</v>
      </c>
      <c r="I57" s="802">
        <f>H57</f>
        <v>20000</v>
      </c>
      <c r="J57" s="810"/>
      <c r="K57" s="802"/>
      <c r="L57" s="802">
        <v>20000</v>
      </c>
      <c r="M57" s="825">
        <v>1600000</v>
      </c>
      <c r="N57" s="825">
        <v>20000</v>
      </c>
      <c r="O57" s="825">
        <v>600000</v>
      </c>
      <c r="P57" s="863">
        <v>50000</v>
      </c>
    </row>
    <row r="58" spans="1:17" s="843" customFormat="1" ht="13">
      <c r="A58" s="836">
        <v>2223</v>
      </c>
      <c r="B58" s="837">
        <v>6121</v>
      </c>
      <c r="C58" s="838" t="s">
        <v>604</v>
      </c>
      <c r="D58" s="839"/>
      <c r="E58" s="839"/>
      <c r="F58" s="839"/>
      <c r="G58" s="839" t="e">
        <f>#REF!</f>
        <v>#REF!</v>
      </c>
      <c r="H58" s="839" t="e">
        <f t="shared" si="13"/>
        <v>#REF!</v>
      </c>
      <c r="I58" s="840" t="e">
        <f>#REF!</f>
        <v>#REF!</v>
      </c>
      <c r="J58" s="841"/>
      <c r="K58" s="840">
        <v>417871</v>
      </c>
      <c r="L58" s="840">
        <v>1150000</v>
      </c>
      <c r="M58" s="842">
        <v>80000</v>
      </c>
      <c r="N58" s="842">
        <f>330000+4750000+150000</f>
        <v>5230000</v>
      </c>
      <c r="O58" s="842">
        <v>3000000</v>
      </c>
      <c r="P58" s="901">
        <v>15000000</v>
      </c>
      <c r="Q58" s="979" t="s">
        <v>605</v>
      </c>
    </row>
    <row r="59" spans="1:17" ht="13">
      <c r="A59" s="773">
        <v>2310</v>
      </c>
      <c r="B59" s="772">
        <v>5139</v>
      </c>
      <c r="C59" s="785" t="s">
        <v>606</v>
      </c>
      <c r="D59" s="784">
        <v>5000</v>
      </c>
      <c r="E59" s="784">
        <v>5000</v>
      </c>
      <c r="F59" s="784">
        <v>5733</v>
      </c>
      <c r="G59" s="784">
        <v>0</v>
      </c>
      <c r="H59" s="784">
        <f t="shared" si="13"/>
        <v>5733</v>
      </c>
      <c r="I59" s="802">
        <f>H59</f>
        <v>5733</v>
      </c>
      <c r="J59" s="810"/>
      <c r="K59" s="802"/>
      <c r="L59" s="802">
        <v>2000</v>
      </c>
      <c r="M59" s="825">
        <v>67000</v>
      </c>
      <c r="N59" s="825">
        <v>50000</v>
      </c>
      <c r="O59" s="825">
        <v>20000</v>
      </c>
      <c r="P59" s="863">
        <v>50000</v>
      </c>
    </row>
    <row r="60" spans="1:17" ht="13">
      <c r="A60" s="773">
        <v>2321</v>
      </c>
      <c r="B60" s="772">
        <v>5169</v>
      </c>
      <c r="C60" s="785" t="s">
        <v>607</v>
      </c>
      <c r="D60" s="784">
        <v>10000</v>
      </c>
      <c r="E60" s="784">
        <v>10000</v>
      </c>
      <c r="F60" s="784"/>
      <c r="G60" s="784">
        <f t="shared" si="12"/>
        <v>10000</v>
      </c>
      <c r="H60" s="784">
        <f t="shared" si="13"/>
        <v>10000</v>
      </c>
      <c r="I60" s="802">
        <f t="shared" ref="I60:I73" si="14">H60</f>
        <v>10000</v>
      </c>
      <c r="J60" s="810"/>
      <c r="K60" s="802">
        <v>19316</v>
      </c>
      <c r="L60" s="802">
        <v>20000</v>
      </c>
      <c r="M60" s="825"/>
      <c r="N60" s="825">
        <v>20000</v>
      </c>
      <c r="O60" s="825"/>
      <c r="P60" s="863">
        <v>100000</v>
      </c>
    </row>
    <row r="61" spans="1:17" ht="13">
      <c r="A61" s="773">
        <v>2321</v>
      </c>
      <c r="B61" s="772">
        <v>5171</v>
      </c>
      <c r="C61" s="785" t="s">
        <v>608</v>
      </c>
      <c r="D61" s="784">
        <v>40000</v>
      </c>
      <c r="E61" s="784">
        <v>40000</v>
      </c>
      <c r="F61" s="784"/>
      <c r="G61" s="784">
        <f t="shared" si="12"/>
        <v>40000</v>
      </c>
      <c r="H61" s="784">
        <f t="shared" si="13"/>
        <v>40000</v>
      </c>
      <c r="I61" s="802">
        <f t="shared" si="14"/>
        <v>40000</v>
      </c>
      <c r="J61" s="810"/>
      <c r="K61" s="802">
        <v>14707</v>
      </c>
      <c r="L61" s="802">
        <v>40000</v>
      </c>
      <c r="M61" s="825">
        <v>40000</v>
      </c>
      <c r="N61" s="825">
        <v>500000</v>
      </c>
      <c r="O61" s="825">
        <v>10000</v>
      </c>
      <c r="P61" s="863">
        <v>800000</v>
      </c>
      <c r="Q61" s="979" t="s">
        <v>609</v>
      </c>
    </row>
    <row r="62" spans="1:17" ht="13">
      <c r="A62" s="773">
        <v>2329</v>
      </c>
      <c r="B62" s="772">
        <v>5011</v>
      </c>
      <c r="C62" s="785" t="s">
        <v>610</v>
      </c>
      <c r="D62" s="784">
        <v>20000</v>
      </c>
      <c r="E62" s="784">
        <v>20000</v>
      </c>
      <c r="F62" s="784">
        <v>10400</v>
      </c>
      <c r="G62" s="784">
        <f t="shared" si="12"/>
        <v>9600</v>
      </c>
      <c r="H62" s="784">
        <f t="shared" si="13"/>
        <v>20000</v>
      </c>
      <c r="I62" s="802">
        <f t="shared" si="14"/>
        <v>20000</v>
      </c>
      <c r="J62" s="810"/>
      <c r="K62" s="802">
        <v>49419</v>
      </c>
      <c r="L62" s="802">
        <v>80000</v>
      </c>
      <c r="M62" s="825">
        <v>100000</v>
      </c>
      <c r="N62" s="825">
        <v>100000</v>
      </c>
      <c r="O62" s="825">
        <v>120000</v>
      </c>
      <c r="P62" s="863">
        <v>120000</v>
      </c>
    </row>
    <row r="63" spans="1:17" ht="13">
      <c r="A63" s="773">
        <v>2329</v>
      </c>
      <c r="B63" s="772">
        <v>5021</v>
      </c>
      <c r="C63" s="785" t="s">
        <v>611</v>
      </c>
      <c r="D63" s="784">
        <v>30000</v>
      </c>
      <c r="E63" s="784">
        <v>30000</v>
      </c>
      <c r="F63" s="784">
        <v>30450</v>
      </c>
      <c r="G63" s="784">
        <v>0</v>
      </c>
      <c r="H63" s="784">
        <f t="shared" si="13"/>
        <v>30450</v>
      </c>
      <c r="I63" s="802">
        <f t="shared" si="14"/>
        <v>30450</v>
      </c>
      <c r="J63" s="810"/>
      <c r="K63" s="802">
        <v>45391</v>
      </c>
      <c r="L63" s="802">
        <v>60000</v>
      </c>
      <c r="M63" s="825">
        <v>50000</v>
      </c>
      <c r="N63" s="825">
        <v>50000</v>
      </c>
      <c r="O63" s="825">
        <v>60000</v>
      </c>
      <c r="P63" s="863">
        <v>60000</v>
      </c>
    </row>
    <row r="64" spans="1:17" ht="13">
      <c r="A64" s="773">
        <v>2329</v>
      </c>
      <c r="B64" s="772">
        <v>5031</v>
      </c>
      <c r="C64" s="785" t="s">
        <v>612</v>
      </c>
      <c r="D64" s="784">
        <v>12000</v>
      </c>
      <c r="E64" s="784">
        <v>12000</v>
      </c>
      <c r="F64" s="784">
        <v>2590</v>
      </c>
      <c r="G64" s="784">
        <f t="shared" si="12"/>
        <v>9410</v>
      </c>
      <c r="H64" s="784">
        <f t="shared" si="13"/>
        <v>12000</v>
      </c>
      <c r="I64" s="802">
        <f t="shared" si="14"/>
        <v>12000</v>
      </c>
      <c r="J64" s="810"/>
      <c r="K64" s="802">
        <v>3682</v>
      </c>
      <c r="L64" s="802">
        <v>12000</v>
      </c>
      <c r="M64" s="825">
        <v>10000</v>
      </c>
      <c r="N64" s="825">
        <v>10000</v>
      </c>
      <c r="O64" s="825">
        <v>10000</v>
      </c>
      <c r="P64" s="863">
        <v>10000</v>
      </c>
    </row>
    <row r="65" spans="1:17" ht="13">
      <c r="A65" s="773">
        <v>2329</v>
      </c>
      <c r="B65" s="772">
        <v>5032</v>
      </c>
      <c r="C65" s="785" t="s">
        <v>613</v>
      </c>
      <c r="D65" s="784">
        <v>8000</v>
      </c>
      <c r="E65" s="784">
        <v>8000</v>
      </c>
      <c r="F65" s="784">
        <v>936</v>
      </c>
      <c r="G65" s="784">
        <f t="shared" si="12"/>
        <v>7064</v>
      </c>
      <c r="H65" s="784">
        <f t="shared" si="13"/>
        <v>8000</v>
      </c>
      <c r="I65" s="802">
        <f t="shared" si="14"/>
        <v>8000</v>
      </c>
      <c r="J65" s="810"/>
      <c r="K65" s="802">
        <v>1337</v>
      </c>
      <c r="L65" s="802">
        <v>8000</v>
      </c>
      <c r="M65" s="825">
        <v>5000</v>
      </c>
      <c r="N65" s="825">
        <v>5000</v>
      </c>
      <c r="O65" s="825">
        <v>5000</v>
      </c>
      <c r="P65" s="863">
        <v>5000</v>
      </c>
    </row>
    <row r="66" spans="1:17" ht="13">
      <c r="A66" s="773">
        <v>2329</v>
      </c>
      <c r="B66" s="772">
        <v>5139</v>
      </c>
      <c r="C66" s="785" t="s">
        <v>614</v>
      </c>
      <c r="D66" s="784">
        <v>5000</v>
      </c>
      <c r="E66" s="784">
        <v>25000</v>
      </c>
      <c r="F66" s="784">
        <v>22620</v>
      </c>
      <c r="G66" s="784">
        <f t="shared" si="12"/>
        <v>2380</v>
      </c>
      <c r="H66" s="784">
        <f t="shared" si="13"/>
        <v>25000</v>
      </c>
      <c r="I66" s="802">
        <f t="shared" si="14"/>
        <v>25000</v>
      </c>
      <c r="J66" s="810"/>
      <c r="K66" s="802">
        <v>39540</v>
      </c>
      <c r="L66" s="802">
        <v>56000</v>
      </c>
      <c r="M66" s="825">
        <v>140000</v>
      </c>
      <c r="N66" s="825">
        <v>140000</v>
      </c>
      <c r="O66" s="825">
        <v>140000</v>
      </c>
      <c r="P66" s="863">
        <v>140000</v>
      </c>
    </row>
    <row r="67" spans="1:17" ht="13">
      <c r="A67" s="773">
        <v>2329</v>
      </c>
      <c r="B67" s="772">
        <v>5154</v>
      </c>
      <c r="C67" s="785" t="s">
        <v>615</v>
      </c>
      <c r="D67" s="784">
        <v>300000</v>
      </c>
      <c r="E67" s="784">
        <v>300000</v>
      </c>
      <c r="F67" s="784">
        <v>245523.26</v>
      </c>
      <c r="G67" s="784">
        <f t="shared" si="12"/>
        <v>54476.739999999991</v>
      </c>
      <c r="H67" s="784">
        <f t="shared" si="13"/>
        <v>300000</v>
      </c>
      <c r="I67" s="802">
        <f t="shared" si="14"/>
        <v>300000</v>
      </c>
      <c r="J67" s="810"/>
      <c r="K67" s="802">
        <v>357221</v>
      </c>
      <c r="L67" s="802">
        <v>400000</v>
      </c>
      <c r="M67" s="825">
        <v>1300000</v>
      </c>
      <c r="N67" s="825">
        <v>1400000</v>
      </c>
      <c r="O67" s="825">
        <v>1000000</v>
      </c>
      <c r="P67" s="863">
        <v>1000000</v>
      </c>
    </row>
    <row r="68" spans="1:17" ht="13">
      <c r="A68" s="773">
        <v>2329</v>
      </c>
      <c r="B68" s="772">
        <v>5151</v>
      </c>
      <c r="C68" s="785" t="s">
        <v>616</v>
      </c>
      <c r="D68" s="784"/>
      <c r="E68" s="784"/>
      <c r="F68" s="784">
        <v>49320</v>
      </c>
      <c r="G68" s="784">
        <f>60000-F68</f>
        <v>10680</v>
      </c>
      <c r="H68" s="784">
        <f t="shared" si="13"/>
        <v>60000</v>
      </c>
      <c r="I68" s="802">
        <f t="shared" si="14"/>
        <v>60000</v>
      </c>
      <c r="J68" s="810"/>
      <c r="K68" s="802"/>
      <c r="L68" s="802">
        <v>10000</v>
      </c>
      <c r="M68" s="825">
        <v>10000</v>
      </c>
      <c r="N68" s="825">
        <v>10000</v>
      </c>
      <c r="O68" s="825"/>
      <c r="P68" s="863"/>
    </row>
    <row r="69" spans="1:17" ht="13">
      <c r="A69" s="773">
        <v>2329</v>
      </c>
      <c r="B69" s="772">
        <v>5169</v>
      </c>
      <c r="C69" s="785" t="s">
        <v>617</v>
      </c>
      <c r="D69" s="784">
        <v>750000</v>
      </c>
      <c r="E69" s="784">
        <v>750000</v>
      </c>
      <c r="F69" s="784">
        <v>274259.26</v>
      </c>
      <c r="G69" s="784">
        <f t="shared" si="12"/>
        <v>475740.74</v>
      </c>
      <c r="H69" s="784">
        <f t="shared" si="13"/>
        <v>750000</v>
      </c>
      <c r="I69" s="802">
        <f t="shared" si="14"/>
        <v>750000</v>
      </c>
      <c r="J69" s="810"/>
      <c r="K69" s="802">
        <v>376997</v>
      </c>
      <c r="L69" s="802">
        <v>510000</v>
      </c>
      <c r="M69" s="825">
        <v>500000</v>
      </c>
      <c r="N69" s="825">
        <v>500000</v>
      </c>
      <c r="O69" s="825">
        <v>500000</v>
      </c>
      <c r="P69" s="863">
        <v>500000</v>
      </c>
    </row>
    <row r="70" spans="1:17" ht="13">
      <c r="A70" s="773">
        <v>2329</v>
      </c>
      <c r="B70" s="772">
        <v>5171</v>
      </c>
      <c r="C70" s="785" t="s">
        <v>618</v>
      </c>
      <c r="D70" s="784">
        <v>100000</v>
      </c>
      <c r="E70" s="784">
        <v>100000</v>
      </c>
      <c r="F70" s="784">
        <v>73498.52</v>
      </c>
      <c r="G70" s="784">
        <f t="shared" si="12"/>
        <v>26501.479999999996</v>
      </c>
      <c r="H70" s="784">
        <f t="shared" si="13"/>
        <v>100000</v>
      </c>
      <c r="I70" s="802">
        <f t="shared" si="14"/>
        <v>100000</v>
      </c>
      <c r="J70" s="810"/>
      <c r="K70" s="802">
        <v>144713</v>
      </c>
      <c r="L70" s="802">
        <v>150000</v>
      </c>
      <c r="M70" s="825">
        <v>220000</v>
      </c>
      <c r="N70" s="825">
        <v>200000</v>
      </c>
      <c r="O70" s="825">
        <v>350000</v>
      </c>
      <c r="P70" s="863">
        <v>350000</v>
      </c>
    </row>
    <row r="71" spans="1:17" ht="13">
      <c r="A71" s="773">
        <v>2329</v>
      </c>
      <c r="B71" s="772">
        <v>5362</v>
      </c>
      <c r="C71" s="785" t="s">
        <v>619</v>
      </c>
      <c r="D71" s="784">
        <v>30000</v>
      </c>
      <c r="E71" s="784">
        <v>30000</v>
      </c>
      <c r="F71" s="784"/>
      <c r="G71" s="784">
        <f t="shared" si="12"/>
        <v>30000</v>
      </c>
      <c r="H71" s="784">
        <f t="shared" si="13"/>
        <v>30000</v>
      </c>
      <c r="I71" s="802">
        <f t="shared" si="14"/>
        <v>30000</v>
      </c>
      <c r="J71" s="810"/>
      <c r="K71" s="802">
        <v>21725</v>
      </c>
      <c r="L71" s="802">
        <v>25000</v>
      </c>
      <c r="M71" s="825">
        <v>25000</v>
      </c>
      <c r="N71" s="825">
        <v>25000</v>
      </c>
      <c r="O71" s="825">
        <v>22000</v>
      </c>
      <c r="P71" s="863">
        <v>25000</v>
      </c>
    </row>
    <row r="72" spans="1:17" s="843" customFormat="1" ht="13">
      <c r="A72" s="836">
        <v>2329</v>
      </c>
      <c r="B72" s="837">
        <v>6121</v>
      </c>
      <c r="C72" s="838" t="s">
        <v>620</v>
      </c>
      <c r="D72" s="839"/>
      <c r="E72" s="839"/>
      <c r="F72" s="839"/>
      <c r="G72" s="839"/>
      <c r="H72" s="839"/>
      <c r="I72" s="840"/>
      <c r="J72" s="841"/>
      <c r="K72" s="840">
        <v>613175</v>
      </c>
      <c r="L72" s="840"/>
      <c r="M72" s="842">
        <v>180000</v>
      </c>
      <c r="N72" s="842">
        <v>150000</v>
      </c>
      <c r="O72" s="842"/>
      <c r="P72" s="901"/>
    </row>
    <row r="73" spans="1:17" ht="13">
      <c r="A73" s="773">
        <v>2334</v>
      </c>
      <c r="B73" s="772">
        <v>5171</v>
      </c>
      <c r="C73" s="785" t="s">
        <v>621</v>
      </c>
      <c r="D73" s="784">
        <v>50000</v>
      </c>
      <c r="E73" s="784">
        <v>200000</v>
      </c>
      <c r="F73" s="784">
        <v>29597</v>
      </c>
      <c r="G73" s="784">
        <f t="shared" si="12"/>
        <v>170403</v>
      </c>
      <c r="H73" s="784">
        <f t="shared" si="13"/>
        <v>200000</v>
      </c>
      <c r="I73" s="802">
        <f t="shared" si="14"/>
        <v>200000</v>
      </c>
      <c r="J73" s="810"/>
      <c r="K73" s="802">
        <v>81053</v>
      </c>
      <c r="L73" s="802">
        <v>100000</v>
      </c>
      <c r="M73" s="825">
        <v>10000</v>
      </c>
      <c r="N73" s="825">
        <v>100000</v>
      </c>
      <c r="O73" s="825">
        <v>100000</v>
      </c>
      <c r="P73" s="863">
        <v>100000</v>
      </c>
    </row>
    <row r="74" spans="1:17" s="844" customFormat="1" ht="13">
      <c r="A74" s="836">
        <v>2334</v>
      </c>
      <c r="B74" s="837">
        <v>6121</v>
      </c>
      <c r="C74" s="838" t="s">
        <v>622</v>
      </c>
      <c r="D74" s="839"/>
      <c r="E74" s="839"/>
      <c r="F74" s="839"/>
      <c r="G74" s="839" t="e">
        <f>#REF!</f>
        <v>#REF!</v>
      </c>
      <c r="H74" s="839" t="e">
        <f t="shared" si="13"/>
        <v>#REF!</v>
      </c>
      <c r="I74" s="840" t="e">
        <f>#REF!</f>
        <v>#REF!</v>
      </c>
      <c r="J74" s="841"/>
      <c r="K74" s="840"/>
      <c r="L74" s="840">
        <v>4900000</v>
      </c>
      <c r="M74" s="842">
        <v>340000</v>
      </c>
      <c r="N74" s="842">
        <v>30000</v>
      </c>
      <c r="O74" s="842">
        <v>250000</v>
      </c>
      <c r="P74" s="901">
        <v>2500000</v>
      </c>
      <c r="Q74" s="979" t="s">
        <v>623</v>
      </c>
    </row>
    <row r="75" spans="1:17" ht="13" hidden="1">
      <c r="A75" s="773">
        <v>3111</v>
      </c>
      <c r="B75" s="772">
        <v>5137</v>
      </c>
      <c r="C75" s="785" t="s">
        <v>624</v>
      </c>
      <c r="D75" s="784"/>
      <c r="E75" s="784">
        <v>2500000</v>
      </c>
      <c r="F75" s="784">
        <v>890909.21</v>
      </c>
      <c r="G75" s="784">
        <f t="shared" si="12"/>
        <v>1609090.79</v>
      </c>
      <c r="H75" s="784">
        <f t="shared" si="13"/>
        <v>2500000</v>
      </c>
      <c r="I75" s="802">
        <v>0</v>
      </c>
      <c r="J75" s="810"/>
      <c r="K75" s="802"/>
      <c r="L75" s="802"/>
      <c r="M75" s="825"/>
      <c r="N75" s="825"/>
      <c r="O75" s="825"/>
      <c r="P75" s="863"/>
    </row>
    <row r="76" spans="1:17" ht="13" hidden="1">
      <c r="A76" s="773">
        <v>3111</v>
      </c>
      <c r="B76" s="772">
        <v>5139</v>
      </c>
      <c r="C76" s="785" t="s">
        <v>625</v>
      </c>
      <c r="D76" s="784"/>
      <c r="E76" s="784">
        <v>50000</v>
      </c>
      <c r="F76" s="784">
        <v>232473.4</v>
      </c>
      <c r="G76" s="784">
        <f>235000-F76</f>
        <v>2526.6000000000058</v>
      </c>
      <c r="H76" s="784">
        <f t="shared" si="13"/>
        <v>235000</v>
      </c>
      <c r="I76" s="802">
        <v>0</v>
      </c>
      <c r="J76" s="810"/>
      <c r="K76" s="802"/>
      <c r="L76" s="802"/>
      <c r="M76" s="825"/>
      <c r="N76" s="825"/>
      <c r="O76" s="825"/>
      <c r="P76" s="863"/>
    </row>
    <row r="77" spans="1:17" ht="13" hidden="1">
      <c r="A77" s="773">
        <v>3111</v>
      </c>
      <c r="B77" s="772">
        <v>5153</v>
      </c>
      <c r="C77" s="785" t="s">
        <v>626</v>
      </c>
      <c r="D77" s="784"/>
      <c r="E77" s="784"/>
      <c r="F77" s="784">
        <v>16000</v>
      </c>
      <c r="G77" s="784">
        <f>20000-F77</f>
        <v>4000</v>
      </c>
      <c r="H77" s="784">
        <f t="shared" si="13"/>
        <v>20000</v>
      </c>
      <c r="I77" s="802">
        <v>0</v>
      </c>
      <c r="J77" s="810"/>
      <c r="K77" s="802"/>
      <c r="L77" s="802"/>
      <c r="M77" s="825"/>
      <c r="N77" s="825"/>
      <c r="O77" s="825"/>
      <c r="P77" s="863"/>
    </row>
    <row r="78" spans="1:17" ht="13" hidden="1">
      <c r="A78" s="773">
        <v>3111</v>
      </c>
      <c r="B78" s="772">
        <v>5169</v>
      </c>
      <c r="C78" s="785" t="s">
        <v>627</v>
      </c>
      <c r="D78" s="784"/>
      <c r="E78" s="784">
        <v>50000</v>
      </c>
      <c r="F78" s="784">
        <v>40465.4</v>
      </c>
      <c r="G78" s="784">
        <f t="shared" si="12"/>
        <v>9534.5999999999985</v>
      </c>
      <c r="H78" s="784">
        <f t="shared" si="13"/>
        <v>50000</v>
      </c>
      <c r="I78" s="802">
        <v>0</v>
      </c>
      <c r="J78" s="810"/>
      <c r="K78" s="802"/>
      <c r="L78" s="802"/>
      <c r="M78" s="825"/>
      <c r="N78" s="825"/>
      <c r="O78" s="825"/>
      <c r="P78" s="863"/>
    </row>
    <row r="79" spans="1:17" ht="13" hidden="1">
      <c r="A79" s="773">
        <v>3111</v>
      </c>
      <c r="B79" s="772">
        <v>5175</v>
      </c>
      <c r="C79" s="785" t="s">
        <v>628</v>
      </c>
      <c r="D79" s="784"/>
      <c r="E79" s="784"/>
      <c r="F79" s="784">
        <v>8959.75</v>
      </c>
      <c r="G79" s="784">
        <f>10000-F79</f>
        <v>1040.25</v>
      </c>
      <c r="H79" s="784">
        <f t="shared" si="13"/>
        <v>10000</v>
      </c>
      <c r="I79" s="802">
        <v>0</v>
      </c>
      <c r="J79" s="810"/>
      <c r="K79" s="802"/>
      <c r="L79" s="802"/>
      <c r="M79" s="825"/>
      <c r="N79" s="825"/>
      <c r="O79" s="825"/>
      <c r="P79" s="863"/>
    </row>
    <row r="80" spans="1:17" ht="13" hidden="1">
      <c r="A80" s="773">
        <v>3111</v>
      </c>
      <c r="B80" s="821">
        <v>5154</v>
      </c>
      <c r="C80" s="785" t="s">
        <v>629</v>
      </c>
      <c r="D80" s="784"/>
      <c r="E80" s="784"/>
      <c r="F80" s="784"/>
      <c r="G80" s="784"/>
      <c r="H80" s="784"/>
      <c r="I80" s="802"/>
      <c r="J80" s="811"/>
      <c r="K80" s="802">
        <v>15870</v>
      </c>
      <c r="L80" s="802"/>
      <c r="M80" s="825"/>
      <c r="N80" s="825"/>
      <c r="O80" s="825"/>
      <c r="P80" s="863"/>
    </row>
    <row r="81" spans="1:17" ht="13">
      <c r="A81" s="773">
        <v>3111</v>
      </c>
      <c r="B81" s="821">
        <v>5162</v>
      </c>
      <c r="C81" s="785" t="s">
        <v>630</v>
      </c>
      <c r="D81" s="784"/>
      <c r="E81" s="784"/>
      <c r="F81" s="784"/>
      <c r="G81" s="784"/>
      <c r="H81" s="784"/>
      <c r="I81" s="802"/>
      <c r="J81" s="811"/>
      <c r="K81" s="802">
        <v>11437</v>
      </c>
      <c r="L81" s="802">
        <v>30000</v>
      </c>
      <c r="M81" s="825">
        <v>40000</v>
      </c>
      <c r="N81" s="825">
        <v>40000</v>
      </c>
      <c r="O81" s="825">
        <v>40000</v>
      </c>
      <c r="P81" s="863">
        <v>40000</v>
      </c>
    </row>
    <row r="82" spans="1:17" ht="13">
      <c r="A82" s="773">
        <v>3111</v>
      </c>
      <c r="B82" s="772">
        <v>5331</v>
      </c>
      <c r="C82" s="785" t="s">
        <v>631</v>
      </c>
      <c r="D82" s="784"/>
      <c r="E82" s="784">
        <v>499200</v>
      </c>
      <c r="F82" s="784"/>
      <c r="G82" s="784">
        <f t="shared" si="12"/>
        <v>499200</v>
      </c>
      <c r="H82" s="784">
        <f t="shared" si="13"/>
        <v>499200</v>
      </c>
      <c r="I82" s="802">
        <f>1300*96*12</f>
        <v>1497600</v>
      </c>
      <c r="J82" s="810"/>
      <c r="K82" s="802">
        <v>1123200</v>
      </c>
      <c r="L82" s="802">
        <v>956700</v>
      </c>
      <c r="M82" s="825">
        <v>956700</v>
      </c>
      <c r="N82" s="825">
        <v>1313700</v>
      </c>
      <c r="O82" s="825">
        <v>1313700</v>
      </c>
      <c r="P82" s="863">
        <v>1474000</v>
      </c>
      <c r="Q82" s="120"/>
    </row>
    <row r="83" spans="1:17" s="844" customFormat="1" ht="13">
      <c r="A83" s="836">
        <v>3111</v>
      </c>
      <c r="B83" s="837">
        <v>6121</v>
      </c>
      <c r="C83" s="838" t="s">
        <v>632</v>
      </c>
      <c r="D83" s="839">
        <f>20000000+10000000</f>
        <v>30000000</v>
      </c>
      <c r="E83" s="839">
        <v>26500000</v>
      </c>
      <c r="F83" s="839">
        <v>24569003.579999998</v>
      </c>
      <c r="G83" s="839">
        <v>0</v>
      </c>
      <c r="H83" s="839">
        <f t="shared" si="13"/>
        <v>24569003.579999998</v>
      </c>
      <c r="I83" s="840" t="e">
        <f>#REF!</f>
        <v>#REF!</v>
      </c>
      <c r="J83" s="846"/>
      <c r="K83" s="840"/>
      <c r="L83" s="840">
        <v>0</v>
      </c>
      <c r="M83" s="845"/>
      <c r="N83" s="845"/>
      <c r="O83" s="845"/>
      <c r="P83" s="901">
        <v>600000</v>
      </c>
      <c r="Q83" s="979" t="s">
        <v>633</v>
      </c>
    </row>
    <row r="84" spans="1:17" s="120" customFormat="1" ht="13">
      <c r="A84" s="773">
        <v>3113</v>
      </c>
      <c r="B84" s="772">
        <v>5169</v>
      </c>
      <c r="C84" s="785" t="s">
        <v>634</v>
      </c>
      <c r="D84" s="784"/>
      <c r="E84" s="784"/>
      <c r="F84" s="784"/>
      <c r="G84" s="784"/>
      <c r="H84" s="784"/>
      <c r="I84" s="802"/>
      <c r="J84" s="810"/>
      <c r="K84" s="802"/>
      <c r="L84" s="802"/>
      <c r="M84" s="825">
        <v>600000</v>
      </c>
      <c r="N84" s="825"/>
      <c r="O84" s="825">
        <v>40000</v>
      </c>
      <c r="P84" s="863"/>
    </row>
    <row r="85" spans="1:17" s="906" customFormat="1" ht="13">
      <c r="A85" s="892">
        <v>3113</v>
      </c>
      <c r="B85" s="893">
        <v>6121</v>
      </c>
      <c r="C85" s="894" t="s">
        <v>635</v>
      </c>
      <c r="D85" s="895"/>
      <c r="E85" s="895"/>
      <c r="F85" s="895"/>
      <c r="G85" s="895"/>
      <c r="H85" s="895"/>
      <c r="I85" s="896"/>
      <c r="J85" s="905"/>
      <c r="K85" s="896"/>
      <c r="L85" s="896"/>
      <c r="M85" s="898"/>
      <c r="N85" s="898">
        <v>300000</v>
      </c>
      <c r="O85" s="890"/>
      <c r="P85" s="891"/>
    </row>
    <row r="86" spans="1:17" s="844" customFormat="1" ht="13">
      <c r="A86" s="836">
        <v>3113</v>
      </c>
      <c r="B86" s="837">
        <v>6351</v>
      </c>
      <c r="C86" s="838" t="s">
        <v>636</v>
      </c>
      <c r="D86" s="839">
        <v>2000000</v>
      </c>
      <c r="E86" s="839">
        <v>2000000</v>
      </c>
      <c r="F86" s="839"/>
      <c r="G86" s="839" t="e">
        <f>#REF!</f>
        <v>#REF!</v>
      </c>
      <c r="H86" s="839" t="e">
        <f t="shared" si="13"/>
        <v>#REF!</v>
      </c>
      <c r="I86" s="840" t="e">
        <f>#REF!</f>
        <v>#REF!</v>
      </c>
      <c r="J86" s="846"/>
      <c r="K86" s="840">
        <v>60355</v>
      </c>
      <c r="L86" s="840">
        <v>600000</v>
      </c>
      <c r="M86" s="842">
        <v>1500000</v>
      </c>
      <c r="N86" s="842">
        <v>3100000</v>
      </c>
      <c r="O86" s="842">
        <v>500000</v>
      </c>
      <c r="P86" s="901">
        <v>1000000</v>
      </c>
      <c r="Q86" s="844" t="s">
        <v>637</v>
      </c>
    </row>
    <row r="87" spans="1:17" s="120" customFormat="1" ht="13">
      <c r="A87" s="773">
        <v>3326</v>
      </c>
      <c r="B87" s="772">
        <v>5171</v>
      </c>
      <c r="C87" s="785" t="s">
        <v>638</v>
      </c>
      <c r="D87" s="784"/>
      <c r="E87" s="784"/>
      <c r="F87" s="784"/>
      <c r="G87" s="784"/>
      <c r="H87" s="784"/>
      <c r="I87" s="802"/>
      <c r="J87" s="810"/>
      <c r="K87" s="802"/>
      <c r="L87" s="802"/>
      <c r="M87" s="825"/>
      <c r="N87" s="825"/>
      <c r="O87" s="825"/>
      <c r="P87" s="863">
        <v>300000</v>
      </c>
    </row>
    <row r="88" spans="1:17" ht="13">
      <c r="A88" s="773">
        <v>3399</v>
      </c>
      <c r="B88" s="772">
        <v>5139</v>
      </c>
      <c r="C88" s="785" t="s">
        <v>639</v>
      </c>
      <c r="D88" s="784">
        <v>40000</v>
      </c>
      <c r="E88" s="784">
        <v>40000</v>
      </c>
      <c r="F88" s="784"/>
      <c r="G88" s="784">
        <f t="shared" si="12"/>
        <v>40000</v>
      </c>
      <c r="H88" s="784">
        <f t="shared" si="13"/>
        <v>40000</v>
      </c>
      <c r="I88" s="802">
        <f t="shared" ref="I88:I99" si="15">H88</f>
        <v>40000</v>
      </c>
      <c r="J88" s="810"/>
      <c r="K88" s="802"/>
      <c r="L88" s="802">
        <v>40000</v>
      </c>
      <c r="M88" s="825">
        <v>20000</v>
      </c>
      <c r="N88" s="825">
        <v>40000</v>
      </c>
      <c r="O88" s="825">
        <v>40000</v>
      </c>
      <c r="P88" s="863">
        <v>40000</v>
      </c>
    </row>
    <row r="89" spans="1:17" ht="13">
      <c r="A89" s="773">
        <v>3399</v>
      </c>
      <c r="B89" s="772">
        <v>5169</v>
      </c>
      <c r="C89" s="785" t="s">
        <v>640</v>
      </c>
      <c r="D89" s="784">
        <v>20000</v>
      </c>
      <c r="E89" s="784">
        <v>20000</v>
      </c>
      <c r="F89" s="784">
        <v>32166</v>
      </c>
      <c r="G89" s="784">
        <v>0</v>
      </c>
      <c r="H89" s="784">
        <f t="shared" si="13"/>
        <v>32166</v>
      </c>
      <c r="I89" s="802">
        <f t="shared" si="15"/>
        <v>32166</v>
      </c>
      <c r="J89" s="810"/>
      <c r="K89" s="802">
        <v>64530</v>
      </c>
      <c r="L89" s="802">
        <v>65000</v>
      </c>
      <c r="M89" s="825">
        <v>65000</v>
      </c>
      <c r="N89" s="825">
        <v>65000</v>
      </c>
      <c r="O89" s="825">
        <v>140000</v>
      </c>
      <c r="P89" s="863">
        <v>140000</v>
      </c>
    </row>
    <row r="90" spans="1:17" ht="13">
      <c r="A90" s="773">
        <v>3399</v>
      </c>
      <c r="B90" s="772">
        <v>5175</v>
      </c>
      <c r="C90" s="785" t="s">
        <v>641</v>
      </c>
      <c r="D90" s="784">
        <v>100000</v>
      </c>
      <c r="E90" s="784">
        <v>100000</v>
      </c>
      <c r="F90" s="784">
        <v>50556</v>
      </c>
      <c r="G90" s="784">
        <f t="shared" si="12"/>
        <v>49444</v>
      </c>
      <c r="H90" s="784">
        <f t="shared" si="13"/>
        <v>100000</v>
      </c>
      <c r="I90" s="802">
        <f t="shared" si="15"/>
        <v>100000</v>
      </c>
      <c r="J90" s="810"/>
      <c r="K90" s="802">
        <v>45610</v>
      </c>
      <c r="L90" s="802">
        <v>100000</v>
      </c>
      <c r="M90" s="825">
        <v>80000</v>
      </c>
      <c r="N90" s="825">
        <v>100000</v>
      </c>
      <c r="O90" s="825">
        <v>30000</v>
      </c>
      <c r="P90" s="863">
        <v>50000</v>
      </c>
    </row>
    <row r="91" spans="1:17" ht="13">
      <c r="A91" s="773">
        <v>3399</v>
      </c>
      <c r="B91" s="772">
        <v>5194</v>
      </c>
      <c r="C91" s="785" t="s">
        <v>642</v>
      </c>
      <c r="D91" s="784">
        <v>15000</v>
      </c>
      <c r="E91" s="784">
        <v>15000</v>
      </c>
      <c r="F91" s="784">
        <v>14779</v>
      </c>
      <c r="G91" s="784">
        <f t="shared" si="12"/>
        <v>221</v>
      </c>
      <c r="H91" s="784">
        <f t="shared" si="13"/>
        <v>15000</v>
      </c>
      <c r="I91" s="802">
        <f t="shared" si="15"/>
        <v>15000</v>
      </c>
      <c r="J91" s="810"/>
      <c r="K91" s="802">
        <v>20000</v>
      </c>
      <c r="L91" s="802">
        <v>20000</v>
      </c>
      <c r="M91" s="825">
        <v>70000</v>
      </c>
      <c r="N91" s="825">
        <v>40000</v>
      </c>
      <c r="O91" s="825">
        <v>40000</v>
      </c>
      <c r="P91" s="863">
        <v>40000</v>
      </c>
    </row>
    <row r="92" spans="1:17" ht="13">
      <c r="A92" s="773">
        <v>3421</v>
      </c>
      <c r="B92" s="772">
        <v>5139</v>
      </c>
      <c r="C92" s="785" t="s">
        <v>643</v>
      </c>
      <c r="D92" s="784"/>
      <c r="E92" s="784"/>
      <c r="F92" s="784">
        <v>890</v>
      </c>
      <c r="G92" s="784">
        <v>0</v>
      </c>
      <c r="H92" s="784">
        <f t="shared" si="13"/>
        <v>890</v>
      </c>
      <c r="I92" s="802">
        <f t="shared" si="15"/>
        <v>890</v>
      </c>
      <c r="J92" s="810"/>
      <c r="K92" s="802"/>
      <c r="L92" s="802"/>
      <c r="M92" s="825">
        <v>5000</v>
      </c>
      <c r="N92" s="825">
        <v>5000</v>
      </c>
      <c r="O92" s="825"/>
      <c r="P92" s="863"/>
    </row>
    <row r="93" spans="1:17" ht="13">
      <c r="A93" s="773">
        <v>3421</v>
      </c>
      <c r="B93" s="772">
        <v>5169</v>
      </c>
      <c r="C93" s="785" t="s">
        <v>644</v>
      </c>
      <c r="D93" s="784">
        <v>5000</v>
      </c>
      <c r="E93" s="784">
        <v>265000</v>
      </c>
      <c r="F93" s="784"/>
      <c r="G93" s="784">
        <v>25000</v>
      </c>
      <c r="H93" s="784">
        <f t="shared" si="13"/>
        <v>25000</v>
      </c>
      <c r="I93" s="802">
        <f t="shared" si="15"/>
        <v>25000</v>
      </c>
      <c r="J93" s="810"/>
      <c r="K93" s="802"/>
      <c r="L93" s="802">
        <v>25000</v>
      </c>
      <c r="M93" s="825">
        <v>25000</v>
      </c>
      <c r="N93" s="825">
        <v>25000</v>
      </c>
      <c r="O93" s="825">
        <v>25000</v>
      </c>
      <c r="P93" s="863">
        <v>25000</v>
      </c>
    </row>
    <row r="94" spans="1:17" s="843" customFormat="1" ht="13">
      <c r="A94" s="836">
        <v>3412</v>
      </c>
      <c r="B94" s="837">
        <v>6121</v>
      </c>
      <c r="C94" s="838" t="s">
        <v>645</v>
      </c>
      <c r="D94" s="839"/>
      <c r="E94" s="839"/>
      <c r="F94" s="839"/>
      <c r="G94" s="839"/>
      <c r="H94" s="839"/>
      <c r="I94" s="840"/>
      <c r="J94" s="841"/>
      <c r="K94" s="840"/>
      <c r="L94" s="840">
        <v>3000000</v>
      </c>
      <c r="M94" s="842"/>
      <c r="N94" s="842"/>
      <c r="O94" s="842">
        <v>450000</v>
      </c>
      <c r="P94" s="901">
        <v>10000000</v>
      </c>
      <c r="Q94" s="979" t="s">
        <v>646</v>
      </c>
    </row>
    <row r="95" spans="1:17" s="844" customFormat="1" ht="13">
      <c r="A95" s="836">
        <v>3412</v>
      </c>
      <c r="B95" s="837">
        <v>6122</v>
      </c>
      <c r="C95" s="838" t="s">
        <v>647</v>
      </c>
      <c r="D95" s="839"/>
      <c r="E95" s="839"/>
      <c r="F95" s="839"/>
      <c r="G95" s="839" t="e">
        <f>#REF!</f>
        <v>#REF!</v>
      </c>
      <c r="H95" s="839" t="e">
        <f t="shared" si="13"/>
        <v>#REF!</v>
      </c>
      <c r="I95" s="840" t="e">
        <f>#REF!</f>
        <v>#REF!</v>
      </c>
      <c r="J95" s="841"/>
      <c r="K95" s="840"/>
      <c r="L95" s="840">
        <v>4000000</v>
      </c>
      <c r="M95" s="842">
        <v>430000</v>
      </c>
      <c r="N95" s="842">
        <v>650000</v>
      </c>
      <c r="O95" s="842">
        <v>500000</v>
      </c>
      <c r="P95" s="901">
        <v>1250000</v>
      </c>
      <c r="Q95" s="980"/>
    </row>
    <row r="96" spans="1:17" ht="13">
      <c r="A96" s="773">
        <v>3613</v>
      </c>
      <c r="B96" s="772">
        <v>5171</v>
      </c>
      <c r="C96" s="785" t="s">
        <v>649</v>
      </c>
      <c r="D96" s="784">
        <v>10000</v>
      </c>
      <c r="E96" s="784">
        <v>400000</v>
      </c>
      <c r="F96" s="784">
        <v>229711</v>
      </c>
      <c r="G96" s="784">
        <f t="shared" si="12"/>
        <v>170289</v>
      </c>
      <c r="H96" s="784">
        <f t="shared" si="13"/>
        <v>400000</v>
      </c>
      <c r="I96" s="802">
        <f t="shared" si="15"/>
        <v>400000</v>
      </c>
      <c r="J96" s="810"/>
      <c r="K96" s="802">
        <v>236110</v>
      </c>
      <c r="L96" s="802">
        <v>200000</v>
      </c>
      <c r="M96" s="825"/>
      <c r="N96" s="825">
        <v>150000</v>
      </c>
      <c r="O96" s="825"/>
      <c r="P96" s="863"/>
      <c r="Q96" s="982" t="s">
        <v>1183</v>
      </c>
    </row>
    <row r="97" spans="1:17" ht="13">
      <c r="A97" s="836">
        <v>3613</v>
      </c>
      <c r="B97" s="837">
        <v>6121</v>
      </c>
      <c r="C97" s="838" t="s">
        <v>650</v>
      </c>
      <c r="D97" s="839"/>
      <c r="E97" s="839"/>
      <c r="F97" s="839"/>
      <c r="G97" s="839"/>
      <c r="H97" s="839"/>
      <c r="I97" s="840"/>
      <c r="J97" s="841"/>
      <c r="K97" s="840"/>
      <c r="L97" s="840"/>
      <c r="M97" s="842"/>
      <c r="N97" s="842"/>
      <c r="O97" s="842"/>
      <c r="P97" s="901">
        <v>4000000</v>
      </c>
    </row>
    <row r="98" spans="1:17" ht="13">
      <c r="A98" s="773">
        <v>3631</v>
      </c>
      <c r="B98" s="772">
        <v>5154</v>
      </c>
      <c r="C98" s="785" t="s">
        <v>651</v>
      </c>
      <c r="D98" s="784">
        <v>350000</v>
      </c>
      <c r="E98" s="784">
        <v>350000</v>
      </c>
      <c r="F98" s="784">
        <v>389002</v>
      </c>
      <c r="G98" s="784">
        <v>0</v>
      </c>
      <c r="H98" s="784">
        <f t="shared" si="13"/>
        <v>389002</v>
      </c>
      <c r="I98" s="802">
        <f t="shared" si="15"/>
        <v>389002</v>
      </c>
      <c r="J98" s="810"/>
      <c r="K98" s="802">
        <v>392293</v>
      </c>
      <c r="L98" s="802">
        <v>450000</v>
      </c>
      <c r="M98" s="825">
        <v>600000</v>
      </c>
      <c r="N98" s="825">
        <v>650000</v>
      </c>
      <c r="O98" s="825">
        <v>600000</v>
      </c>
      <c r="P98" s="863">
        <v>1000000</v>
      </c>
    </row>
    <row r="99" spans="1:17" ht="13">
      <c r="A99" s="773">
        <v>3631</v>
      </c>
      <c r="B99" s="772">
        <v>5171</v>
      </c>
      <c r="C99" s="785" t="s">
        <v>652</v>
      </c>
      <c r="D99" s="784">
        <v>200000</v>
      </c>
      <c r="E99" s="784">
        <v>200000</v>
      </c>
      <c r="F99" s="784">
        <v>121840</v>
      </c>
      <c r="G99" s="784">
        <f t="shared" ref="G99:G131" si="16">E99-F99</f>
        <v>78160</v>
      </c>
      <c r="H99" s="784">
        <f t="shared" si="13"/>
        <v>200000</v>
      </c>
      <c r="I99" s="802">
        <f t="shared" si="15"/>
        <v>200000</v>
      </c>
      <c r="J99" s="810"/>
      <c r="K99" s="802">
        <v>200800</v>
      </c>
      <c r="L99" s="802">
        <v>230000</v>
      </c>
      <c r="M99" s="825">
        <v>200000</v>
      </c>
      <c r="N99" s="825">
        <v>200000</v>
      </c>
      <c r="O99" s="825">
        <v>250000</v>
      </c>
      <c r="P99" s="863">
        <v>2000000</v>
      </c>
      <c r="Q99" s="979" t="s">
        <v>653</v>
      </c>
    </row>
    <row r="100" spans="1:17" s="844" customFormat="1" ht="13">
      <c r="A100" s="836">
        <v>3631</v>
      </c>
      <c r="B100" s="837">
        <v>6121</v>
      </c>
      <c r="C100" s="838" t="s">
        <v>654</v>
      </c>
      <c r="D100" s="839">
        <v>300000</v>
      </c>
      <c r="E100" s="839">
        <v>300000</v>
      </c>
      <c r="F100" s="839"/>
      <c r="G100" s="839">
        <v>0</v>
      </c>
      <c r="H100" s="839">
        <f t="shared" si="13"/>
        <v>0</v>
      </c>
      <c r="I100" s="840" t="e">
        <f>#REF!</f>
        <v>#REF!</v>
      </c>
      <c r="J100" s="841"/>
      <c r="K100" s="840">
        <v>1236834</v>
      </c>
      <c r="L100" s="840">
        <v>0</v>
      </c>
      <c r="M100" s="845"/>
      <c r="N100" s="842">
        <v>5600000</v>
      </c>
      <c r="O100" s="845"/>
      <c r="P100" s="901">
        <v>5600000</v>
      </c>
      <c r="Q100" s="979" t="s">
        <v>655</v>
      </c>
    </row>
    <row r="101" spans="1:17" ht="13">
      <c r="A101" s="773">
        <v>3635</v>
      </c>
      <c r="B101" s="772">
        <v>5169</v>
      </c>
      <c r="C101" s="785" t="s">
        <v>656</v>
      </c>
      <c r="D101" s="784"/>
      <c r="E101" s="784">
        <v>120000</v>
      </c>
      <c r="F101" s="784">
        <v>115705</v>
      </c>
      <c r="G101" s="784">
        <f t="shared" si="16"/>
        <v>4295</v>
      </c>
      <c r="H101" s="784">
        <f t="shared" si="13"/>
        <v>120000</v>
      </c>
      <c r="I101" s="802">
        <f>H101</f>
        <v>120000</v>
      </c>
      <c r="J101" s="810"/>
      <c r="K101" s="802">
        <v>148830</v>
      </c>
      <c r="L101" s="802">
        <v>120000</v>
      </c>
      <c r="M101" s="825">
        <v>50000</v>
      </c>
      <c r="N101" s="825">
        <v>50000</v>
      </c>
      <c r="O101" s="825"/>
      <c r="P101" s="863">
        <v>300000</v>
      </c>
    </row>
    <row r="102" spans="1:17" ht="13">
      <c r="A102" s="773">
        <v>3639</v>
      </c>
      <c r="B102" s="772">
        <v>5169</v>
      </c>
      <c r="C102" s="785" t="s">
        <v>657</v>
      </c>
      <c r="D102" s="784">
        <v>50000</v>
      </c>
      <c r="E102" s="784">
        <v>1316000</v>
      </c>
      <c r="F102" s="784">
        <v>256950</v>
      </c>
      <c r="G102" s="784">
        <f t="shared" si="16"/>
        <v>1059050</v>
      </c>
      <c r="H102" s="784">
        <f t="shared" si="13"/>
        <v>1316000</v>
      </c>
      <c r="I102" s="802">
        <f>H102-700000</f>
        <v>616000</v>
      </c>
      <c r="J102" s="812"/>
      <c r="K102" s="802">
        <v>72480</v>
      </c>
      <c r="L102" s="802">
        <v>200000</v>
      </c>
      <c r="M102" s="825">
        <v>450000</v>
      </c>
      <c r="N102" s="825">
        <v>200000</v>
      </c>
      <c r="O102" s="825">
        <v>250000</v>
      </c>
      <c r="P102" s="863">
        <v>250000</v>
      </c>
      <c r="Q102" t="s">
        <v>1184</v>
      </c>
    </row>
    <row r="103" spans="1:17" s="843" customFormat="1" ht="13">
      <c r="A103" s="836">
        <v>3639</v>
      </c>
      <c r="B103" s="837">
        <v>6122</v>
      </c>
      <c r="C103" s="838" t="s">
        <v>658</v>
      </c>
      <c r="D103" s="839"/>
      <c r="E103" s="839"/>
      <c r="F103" s="839"/>
      <c r="G103" s="839"/>
      <c r="H103" s="839"/>
      <c r="I103" s="840"/>
      <c r="J103" s="841"/>
      <c r="K103" s="840"/>
      <c r="L103" s="848"/>
      <c r="M103" s="842"/>
      <c r="N103" s="842"/>
      <c r="O103" s="842"/>
      <c r="P103" s="901">
        <v>200000</v>
      </c>
      <c r="Q103" s="979" t="s">
        <v>659</v>
      </c>
    </row>
    <row r="104" spans="1:17" s="844" customFormat="1" ht="14" thickBot="1">
      <c r="A104" s="836">
        <v>3639</v>
      </c>
      <c r="B104" s="837">
        <v>6121</v>
      </c>
      <c r="C104" s="838" t="s">
        <v>660</v>
      </c>
      <c r="D104" s="839"/>
      <c r="E104" s="839"/>
      <c r="F104" s="839"/>
      <c r="G104" s="839" t="e">
        <f>#REF!</f>
        <v>#REF!</v>
      </c>
      <c r="H104" s="839" t="e">
        <f t="shared" si="13"/>
        <v>#REF!</v>
      </c>
      <c r="I104" s="840"/>
      <c r="J104" s="846"/>
      <c r="K104" s="840"/>
      <c r="L104" s="824" t="e">
        <f>#REF!</f>
        <v>#REF!</v>
      </c>
      <c r="M104" s="845"/>
      <c r="N104" s="845"/>
      <c r="O104" s="842">
        <v>105000</v>
      </c>
      <c r="P104" s="901">
        <v>6000000</v>
      </c>
      <c r="Q104" s="985" t="s">
        <v>1187</v>
      </c>
    </row>
    <row r="105" spans="1:17" s="844" customFormat="1" ht="13">
      <c r="A105" s="836">
        <v>3639</v>
      </c>
      <c r="B105" s="837">
        <v>6130</v>
      </c>
      <c r="C105" s="838" t="s">
        <v>661</v>
      </c>
      <c r="D105" s="839"/>
      <c r="E105" s="839"/>
      <c r="F105" s="839"/>
      <c r="G105" s="839"/>
      <c r="H105" s="839"/>
      <c r="I105" s="840"/>
      <c r="J105" s="846"/>
      <c r="K105" s="840">
        <v>1010000</v>
      </c>
      <c r="L105" s="840"/>
      <c r="M105" s="845"/>
      <c r="N105" s="842">
        <v>2000000</v>
      </c>
      <c r="O105" s="842">
        <v>2510000</v>
      </c>
      <c r="P105" s="901">
        <v>10000000</v>
      </c>
      <c r="Q105" s="979" t="s">
        <v>662</v>
      </c>
    </row>
    <row r="106" spans="1:17" s="120" customFormat="1" ht="13">
      <c r="A106" s="773">
        <v>3721</v>
      </c>
      <c r="B106" s="772">
        <v>5169</v>
      </c>
      <c r="C106" s="785" t="s">
        <v>663</v>
      </c>
      <c r="D106" s="784"/>
      <c r="E106" s="784"/>
      <c r="F106" s="784"/>
      <c r="G106" s="784"/>
      <c r="H106" s="784"/>
      <c r="I106" s="802"/>
      <c r="J106" s="810"/>
      <c r="K106" s="802"/>
      <c r="L106" s="802"/>
      <c r="M106" s="825">
        <v>20000</v>
      </c>
      <c r="N106" s="825">
        <v>20000</v>
      </c>
      <c r="O106" s="825">
        <v>40000</v>
      </c>
      <c r="P106" s="863">
        <v>50000</v>
      </c>
    </row>
    <row r="107" spans="1:17" ht="13">
      <c r="A107" s="773">
        <v>3722</v>
      </c>
      <c r="B107" s="772">
        <v>5169</v>
      </c>
      <c r="C107" s="785" t="s">
        <v>664</v>
      </c>
      <c r="D107" s="784">
        <v>1000000</v>
      </c>
      <c r="E107" s="784">
        <v>1000000</v>
      </c>
      <c r="F107" s="784">
        <v>841076.69</v>
      </c>
      <c r="G107" s="784">
        <f t="shared" si="16"/>
        <v>158923.31000000006</v>
      </c>
      <c r="H107" s="784">
        <f t="shared" si="13"/>
        <v>1000000</v>
      </c>
      <c r="I107" s="802">
        <f>H107+200000</f>
        <v>1200000</v>
      </c>
      <c r="J107" s="810"/>
      <c r="K107" s="802">
        <v>869397</v>
      </c>
      <c r="L107" s="802">
        <v>1320000</v>
      </c>
      <c r="M107" s="825">
        <v>1300000</v>
      </c>
      <c r="N107" s="825">
        <v>1400000</v>
      </c>
      <c r="O107" s="825">
        <v>1700000</v>
      </c>
      <c r="P107" s="863">
        <v>2300000</v>
      </c>
    </row>
    <row r="108" spans="1:17" ht="13">
      <c r="A108" s="773">
        <v>3725</v>
      </c>
      <c r="B108" s="772">
        <v>5169</v>
      </c>
      <c r="C108" s="785" t="s">
        <v>665</v>
      </c>
      <c r="D108" s="784">
        <v>750000</v>
      </c>
      <c r="E108" s="784">
        <v>750000</v>
      </c>
      <c r="F108" s="784">
        <v>480203.2</v>
      </c>
      <c r="G108" s="784">
        <f t="shared" si="16"/>
        <v>269796.8</v>
      </c>
      <c r="H108" s="784">
        <f t="shared" si="13"/>
        <v>750000</v>
      </c>
      <c r="I108" s="802">
        <f>H108+100000</f>
        <v>850000</v>
      </c>
      <c r="J108" s="810"/>
      <c r="K108" s="802">
        <v>625633</v>
      </c>
      <c r="L108" s="802">
        <v>935000</v>
      </c>
      <c r="M108" s="825">
        <v>900000</v>
      </c>
      <c r="N108" s="825">
        <v>1100000</v>
      </c>
      <c r="O108" s="825">
        <v>1100000</v>
      </c>
      <c r="P108" s="863">
        <v>1500000</v>
      </c>
      <c r="Q108" s="979"/>
    </row>
    <row r="109" spans="1:17" ht="13">
      <c r="A109" s="773">
        <v>3726</v>
      </c>
      <c r="B109" s="772">
        <v>5169</v>
      </c>
      <c r="C109" s="785" t="s">
        <v>666</v>
      </c>
      <c r="D109" s="784">
        <v>260000</v>
      </c>
      <c r="E109" s="784">
        <v>260000</v>
      </c>
      <c r="F109" s="784">
        <v>88985.3</v>
      </c>
      <c r="G109" s="784">
        <f t="shared" si="16"/>
        <v>171014.7</v>
      </c>
      <c r="H109" s="784">
        <f t="shared" si="13"/>
        <v>260000</v>
      </c>
      <c r="I109" s="802">
        <f t="shared" ref="I109:I114" si="17">H109</f>
        <v>260000</v>
      </c>
      <c r="J109" s="810"/>
      <c r="K109" s="802">
        <v>169942</v>
      </c>
      <c r="L109" s="802">
        <v>260000</v>
      </c>
      <c r="M109" s="825">
        <v>260000</v>
      </c>
      <c r="N109" s="825">
        <v>330000</v>
      </c>
      <c r="O109" s="825">
        <v>400000</v>
      </c>
      <c r="P109" s="863">
        <v>500000</v>
      </c>
    </row>
    <row r="110" spans="1:17" ht="13">
      <c r="A110" s="773">
        <v>3729</v>
      </c>
      <c r="B110" s="772">
        <v>5169</v>
      </c>
      <c r="C110" s="785" t="s">
        <v>667</v>
      </c>
      <c r="D110" s="784">
        <v>90000</v>
      </c>
      <c r="E110" s="784">
        <v>90000</v>
      </c>
      <c r="F110" s="784">
        <v>64725.53</v>
      </c>
      <c r="G110" s="784">
        <f t="shared" si="16"/>
        <v>25274.47</v>
      </c>
      <c r="H110" s="784">
        <f t="shared" si="13"/>
        <v>90000</v>
      </c>
      <c r="I110" s="802">
        <f t="shared" si="17"/>
        <v>90000</v>
      </c>
      <c r="J110" s="810"/>
      <c r="K110" s="802">
        <v>79582</v>
      </c>
      <c r="L110" s="802">
        <v>120000</v>
      </c>
      <c r="M110" s="825">
        <v>80000</v>
      </c>
      <c r="N110" s="825">
        <v>130000</v>
      </c>
      <c r="O110" s="825">
        <v>130000</v>
      </c>
      <c r="P110" s="863">
        <v>150000</v>
      </c>
    </row>
    <row r="111" spans="1:17" ht="13">
      <c r="A111" s="773">
        <v>3745</v>
      </c>
      <c r="B111" s="772">
        <v>5137</v>
      </c>
      <c r="C111" s="785" t="s">
        <v>668</v>
      </c>
      <c r="D111" s="784"/>
      <c r="E111" s="784"/>
      <c r="F111" s="784">
        <v>35398</v>
      </c>
      <c r="G111" s="784">
        <v>0</v>
      </c>
      <c r="H111" s="784">
        <f t="shared" si="13"/>
        <v>35398</v>
      </c>
      <c r="I111" s="802">
        <f t="shared" si="17"/>
        <v>35398</v>
      </c>
      <c r="J111" s="810"/>
      <c r="K111" s="802">
        <v>39188</v>
      </c>
      <c r="L111" s="802"/>
      <c r="M111" s="825"/>
      <c r="N111" s="825"/>
      <c r="O111" s="825">
        <v>101000</v>
      </c>
      <c r="P111" s="863">
        <v>150000</v>
      </c>
    </row>
    <row r="112" spans="1:17" ht="13">
      <c r="A112" s="773">
        <v>3745</v>
      </c>
      <c r="B112" s="772">
        <v>5139</v>
      </c>
      <c r="C112" s="785" t="s">
        <v>669</v>
      </c>
      <c r="D112" s="784">
        <v>50000</v>
      </c>
      <c r="E112" s="784">
        <v>50000</v>
      </c>
      <c r="F112" s="784">
        <v>82029.990000000005</v>
      </c>
      <c r="G112" s="784">
        <v>0</v>
      </c>
      <c r="H112" s="784">
        <f t="shared" si="13"/>
        <v>82029.990000000005</v>
      </c>
      <c r="I112" s="802">
        <f t="shared" si="17"/>
        <v>82029.990000000005</v>
      </c>
      <c r="J112" s="810"/>
      <c r="K112" s="802">
        <v>48372</v>
      </c>
      <c r="L112" s="802">
        <v>80000</v>
      </c>
      <c r="M112" s="825">
        <v>30000</v>
      </c>
      <c r="N112" s="825">
        <v>50000</v>
      </c>
      <c r="O112" s="825">
        <v>70000</v>
      </c>
      <c r="P112" s="863">
        <v>80000</v>
      </c>
    </row>
    <row r="113" spans="1:17" ht="13">
      <c r="A113" s="773">
        <v>3745</v>
      </c>
      <c r="B113" s="772">
        <v>5156</v>
      </c>
      <c r="C113" s="785" t="s">
        <v>670</v>
      </c>
      <c r="D113" s="784">
        <v>50000</v>
      </c>
      <c r="E113" s="784">
        <v>50000</v>
      </c>
      <c r="F113" s="784">
        <v>36848</v>
      </c>
      <c r="G113" s="784">
        <f t="shared" si="16"/>
        <v>13152</v>
      </c>
      <c r="H113" s="784">
        <f t="shared" si="13"/>
        <v>50000</v>
      </c>
      <c r="I113" s="802">
        <f t="shared" si="17"/>
        <v>50000</v>
      </c>
      <c r="J113" s="810"/>
      <c r="K113" s="802">
        <v>45873</v>
      </c>
      <c r="L113" s="802">
        <v>50000</v>
      </c>
      <c r="M113" s="825">
        <v>90000</v>
      </c>
      <c r="N113" s="825">
        <v>90000</v>
      </c>
      <c r="O113" s="825">
        <v>90000</v>
      </c>
      <c r="P113" s="863">
        <v>90000</v>
      </c>
    </row>
    <row r="114" spans="1:17" ht="13">
      <c r="A114" s="773">
        <v>3745</v>
      </c>
      <c r="B114" s="772">
        <v>5169</v>
      </c>
      <c r="C114" s="785" t="s">
        <v>648</v>
      </c>
      <c r="D114" s="784"/>
      <c r="E114" s="784">
        <v>130000</v>
      </c>
      <c r="F114" s="784">
        <v>900</v>
      </c>
      <c r="G114" s="784">
        <f t="shared" si="16"/>
        <v>129100</v>
      </c>
      <c r="H114" s="784">
        <f t="shared" si="13"/>
        <v>130000</v>
      </c>
      <c r="I114" s="802">
        <f t="shared" si="17"/>
        <v>130000</v>
      </c>
      <c r="J114" s="810"/>
      <c r="K114" s="802">
        <v>189196</v>
      </c>
      <c r="L114" s="802"/>
      <c r="M114" s="825"/>
      <c r="N114" s="825">
        <v>900000</v>
      </c>
      <c r="O114" s="825">
        <v>400000</v>
      </c>
      <c r="P114" s="863">
        <v>500000</v>
      </c>
    </row>
    <row r="115" spans="1:17" ht="13">
      <c r="A115" s="773">
        <v>3745</v>
      </c>
      <c r="B115" s="799">
        <v>5171</v>
      </c>
      <c r="C115" s="785" t="s">
        <v>671</v>
      </c>
      <c r="D115" s="784"/>
      <c r="E115" s="784"/>
      <c r="F115" s="784"/>
      <c r="G115" s="784" t="e">
        <f>#REF!</f>
        <v>#REF!</v>
      </c>
      <c r="H115" s="784" t="e">
        <f>G115+F115</f>
        <v>#REF!</v>
      </c>
      <c r="I115" s="802" t="e">
        <f>#REF!</f>
        <v>#REF!</v>
      </c>
      <c r="J115" s="810"/>
      <c r="K115" s="802"/>
      <c r="L115" s="802" t="e">
        <f>#REF!</f>
        <v>#REF!</v>
      </c>
      <c r="M115" s="825"/>
      <c r="N115" s="825">
        <v>765000</v>
      </c>
      <c r="O115" s="825">
        <v>500000</v>
      </c>
      <c r="P115" s="863">
        <v>700000</v>
      </c>
      <c r="Q115" s="120"/>
    </row>
    <row r="116" spans="1:17" s="844" customFormat="1" ht="13">
      <c r="A116" s="836">
        <v>3745</v>
      </c>
      <c r="B116" s="837">
        <v>6121</v>
      </c>
      <c r="C116" s="838" t="s">
        <v>672</v>
      </c>
      <c r="D116" s="839">
        <v>50000</v>
      </c>
      <c r="E116" s="839">
        <v>50000</v>
      </c>
      <c r="F116" s="839"/>
      <c r="G116" s="839" t="e">
        <f>#REF!</f>
        <v>#REF!</v>
      </c>
      <c r="H116" s="839" t="e">
        <f t="shared" ref="H116:H165" si="18">G116+F116</f>
        <v>#REF!</v>
      </c>
      <c r="I116" s="840" t="e">
        <f>#REF!</f>
        <v>#REF!</v>
      </c>
      <c r="J116" s="847">
        <v>-2000000</v>
      </c>
      <c r="K116" s="840"/>
      <c r="L116" s="840">
        <v>1111000</v>
      </c>
      <c r="M116" s="845"/>
      <c r="N116" s="845"/>
      <c r="O116" s="845"/>
      <c r="P116" s="901">
        <v>1080000</v>
      </c>
      <c r="Q116" s="981" t="s">
        <v>673</v>
      </c>
    </row>
    <row r="117" spans="1:17" s="844" customFormat="1" ht="13">
      <c r="A117" s="836">
        <v>3745</v>
      </c>
      <c r="B117" s="837">
        <v>6122</v>
      </c>
      <c r="C117" s="838" t="s">
        <v>674</v>
      </c>
      <c r="D117" s="839">
        <v>600000</v>
      </c>
      <c r="E117" s="839">
        <v>300000</v>
      </c>
      <c r="F117" s="839"/>
      <c r="G117" s="839" t="e">
        <f>#REF!</f>
        <v>#REF!</v>
      </c>
      <c r="H117" s="839" t="e">
        <f t="shared" si="18"/>
        <v>#REF!</v>
      </c>
      <c r="I117" s="840" t="e">
        <f>#REF!</f>
        <v>#REF!</v>
      </c>
      <c r="J117" s="841"/>
      <c r="K117" s="840"/>
      <c r="L117" s="840"/>
      <c r="M117" s="845"/>
      <c r="N117" s="845"/>
      <c r="O117" s="845"/>
      <c r="P117" s="983">
        <v>250000</v>
      </c>
      <c r="Q117" s="844" t="s">
        <v>675</v>
      </c>
    </row>
    <row r="118" spans="1:17" s="120" customFormat="1" ht="13">
      <c r="A118" s="773">
        <v>4349</v>
      </c>
      <c r="B118" s="772">
        <v>5169</v>
      </c>
      <c r="C118" s="785" t="s">
        <v>1213</v>
      </c>
      <c r="D118" s="784"/>
      <c r="E118" s="784"/>
      <c r="F118" s="784"/>
      <c r="G118" s="784"/>
      <c r="H118" s="784"/>
      <c r="I118" s="802"/>
      <c r="J118" s="810"/>
      <c r="K118" s="802"/>
      <c r="L118" s="802"/>
      <c r="M118" s="825"/>
      <c r="N118" s="825"/>
      <c r="O118" s="825">
        <v>100000</v>
      </c>
      <c r="P118" s="863">
        <v>100000</v>
      </c>
    </row>
    <row r="119" spans="1:17" ht="13">
      <c r="A119" s="773">
        <v>5299</v>
      </c>
      <c r="B119" s="772">
        <v>5139</v>
      </c>
      <c r="C119" s="785" t="s">
        <v>643</v>
      </c>
      <c r="D119" s="784"/>
      <c r="E119" s="784">
        <v>20000</v>
      </c>
      <c r="F119" s="784">
        <v>6670</v>
      </c>
      <c r="G119" s="784">
        <f t="shared" si="16"/>
        <v>13330</v>
      </c>
      <c r="H119" s="784">
        <f t="shared" si="18"/>
        <v>20000</v>
      </c>
      <c r="I119" s="802">
        <f t="shared" ref="I119:I125" si="19">H119</f>
        <v>20000</v>
      </c>
      <c r="J119" s="810"/>
      <c r="K119" s="802">
        <v>8409</v>
      </c>
      <c r="L119" s="802">
        <v>10000</v>
      </c>
      <c r="M119" s="825">
        <v>10000</v>
      </c>
      <c r="N119" s="825">
        <v>10000</v>
      </c>
      <c r="O119" s="825"/>
      <c r="P119" s="863">
        <v>10000</v>
      </c>
    </row>
    <row r="120" spans="1:17" ht="13">
      <c r="A120" s="773">
        <v>5512</v>
      </c>
      <c r="B120" s="772">
        <v>5137</v>
      </c>
      <c r="C120" s="785" t="s">
        <v>676</v>
      </c>
      <c r="D120" s="784">
        <v>30000</v>
      </c>
      <c r="E120" s="784">
        <v>30000</v>
      </c>
      <c r="F120" s="784"/>
      <c r="G120" s="784">
        <f t="shared" si="16"/>
        <v>30000</v>
      </c>
      <c r="H120" s="784">
        <f t="shared" si="18"/>
        <v>30000</v>
      </c>
      <c r="I120" s="802">
        <f t="shared" si="19"/>
        <v>30000</v>
      </c>
      <c r="J120" s="810"/>
      <c r="K120" s="802"/>
      <c r="L120" s="802">
        <v>15000</v>
      </c>
      <c r="M120" s="825"/>
      <c r="N120" s="825">
        <v>20000</v>
      </c>
      <c r="O120" s="825">
        <v>652800</v>
      </c>
      <c r="P120" s="863">
        <v>300000</v>
      </c>
    </row>
    <row r="121" spans="1:17" ht="13">
      <c r="A121" s="773">
        <v>5512</v>
      </c>
      <c r="B121" s="772">
        <v>5139</v>
      </c>
      <c r="C121" s="785" t="s">
        <v>677</v>
      </c>
      <c r="D121" s="784">
        <v>5000</v>
      </c>
      <c r="E121" s="784">
        <v>5000</v>
      </c>
      <c r="F121" s="784">
        <v>3948</v>
      </c>
      <c r="G121" s="784">
        <f t="shared" si="16"/>
        <v>1052</v>
      </c>
      <c r="H121" s="784">
        <f t="shared" si="18"/>
        <v>5000</v>
      </c>
      <c r="I121" s="802">
        <f t="shared" si="19"/>
        <v>5000</v>
      </c>
      <c r="J121" s="810"/>
      <c r="K121" s="802"/>
      <c r="L121" s="802">
        <v>5000</v>
      </c>
      <c r="M121" s="825">
        <v>20000</v>
      </c>
      <c r="N121" s="825">
        <v>20000</v>
      </c>
      <c r="O121" s="825">
        <v>5000</v>
      </c>
      <c r="P121" s="863">
        <v>20000</v>
      </c>
    </row>
    <row r="122" spans="1:17" ht="13">
      <c r="A122" s="773">
        <v>5512</v>
      </c>
      <c r="B122" s="772">
        <v>5156</v>
      </c>
      <c r="C122" s="785" t="s">
        <v>678</v>
      </c>
      <c r="D122" s="784">
        <v>2000</v>
      </c>
      <c r="E122" s="784">
        <v>2000</v>
      </c>
      <c r="F122" s="784">
        <v>1150</v>
      </c>
      <c r="G122" s="784">
        <f t="shared" si="16"/>
        <v>850</v>
      </c>
      <c r="H122" s="784">
        <f t="shared" si="18"/>
        <v>2000</v>
      </c>
      <c r="I122" s="802">
        <f t="shared" si="19"/>
        <v>2000</v>
      </c>
      <c r="J122" s="810"/>
      <c r="K122" s="802">
        <v>2062</v>
      </c>
      <c r="L122" s="802">
        <v>2000</v>
      </c>
      <c r="M122" s="825">
        <v>6000</v>
      </c>
      <c r="N122" s="825">
        <v>5000</v>
      </c>
      <c r="O122" s="825">
        <v>5000</v>
      </c>
      <c r="P122" s="863">
        <v>6000</v>
      </c>
    </row>
    <row r="123" spans="1:17" ht="13">
      <c r="A123" s="773">
        <v>5512</v>
      </c>
      <c r="B123" s="772">
        <v>5163</v>
      </c>
      <c r="C123" s="785" t="s">
        <v>679</v>
      </c>
      <c r="D123" s="784">
        <v>2400</v>
      </c>
      <c r="E123" s="784">
        <v>2400</v>
      </c>
      <c r="F123" s="784">
        <v>2329</v>
      </c>
      <c r="G123" s="784">
        <f t="shared" si="16"/>
        <v>71</v>
      </c>
      <c r="H123" s="784">
        <f t="shared" si="18"/>
        <v>2400</v>
      </c>
      <c r="I123" s="802">
        <f t="shared" si="19"/>
        <v>2400</v>
      </c>
      <c r="J123" s="810"/>
      <c r="K123" s="802">
        <v>2329</v>
      </c>
      <c r="L123" s="802">
        <v>2400</v>
      </c>
      <c r="M123" s="825">
        <v>2400</v>
      </c>
      <c r="N123" s="825">
        <v>2400</v>
      </c>
      <c r="O123" s="825">
        <v>2400</v>
      </c>
      <c r="P123" s="863">
        <v>3000</v>
      </c>
    </row>
    <row r="124" spans="1:17" ht="13">
      <c r="A124" s="773">
        <v>5512</v>
      </c>
      <c r="B124" s="772">
        <v>5167</v>
      </c>
      <c r="C124" s="785" t="s">
        <v>680</v>
      </c>
      <c r="D124" s="784">
        <v>5000</v>
      </c>
      <c r="E124" s="784">
        <v>5000</v>
      </c>
      <c r="F124" s="784"/>
      <c r="G124" s="784">
        <f t="shared" si="16"/>
        <v>5000</v>
      </c>
      <c r="H124" s="784">
        <f t="shared" si="18"/>
        <v>5000</v>
      </c>
      <c r="I124" s="802">
        <f t="shared" si="19"/>
        <v>5000</v>
      </c>
      <c r="J124" s="810"/>
      <c r="K124" s="802"/>
      <c r="L124" s="802">
        <v>5000</v>
      </c>
      <c r="M124" s="825"/>
      <c r="N124" s="825">
        <v>5000</v>
      </c>
      <c r="O124" s="825"/>
      <c r="P124" s="863">
        <v>30000</v>
      </c>
    </row>
    <row r="125" spans="1:17" ht="13">
      <c r="A125" s="773">
        <v>5512</v>
      </c>
      <c r="B125" s="772">
        <v>5171</v>
      </c>
      <c r="C125" s="785" t="s">
        <v>681</v>
      </c>
      <c r="D125" s="784">
        <v>5000</v>
      </c>
      <c r="E125" s="784">
        <v>5000</v>
      </c>
      <c r="F125" s="784"/>
      <c r="G125" s="784">
        <f t="shared" si="16"/>
        <v>5000</v>
      </c>
      <c r="H125" s="784">
        <f t="shared" si="18"/>
        <v>5000</v>
      </c>
      <c r="I125" s="802">
        <f t="shared" si="19"/>
        <v>5000</v>
      </c>
      <c r="J125" s="810"/>
      <c r="K125" s="802">
        <v>3422</v>
      </c>
      <c r="L125" s="802">
        <v>5000</v>
      </c>
      <c r="M125" s="825">
        <v>25000</v>
      </c>
      <c r="N125" s="825">
        <v>20000</v>
      </c>
      <c r="O125" s="825"/>
      <c r="P125" s="863">
        <v>50000</v>
      </c>
    </row>
    <row r="126" spans="1:17" ht="13">
      <c r="A126" s="773">
        <v>5512</v>
      </c>
      <c r="B126" s="772">
        <v>5222</v>
      </c>
      <c r="C126" s="785" t="s">
        <v>682</v>
      </c>
      <c r="D126" s="784"/>
      <c r="E126" s="784"/>
      <c r="F126" s="784"/>
      <c r="G126" s="784"/>
      <c r="H126" s="784"/>
      <c r="I126" s="802"/>
      <c r="J126" s="810"/>
      <c r="K126" s="802"/>
      <c r="L126" s="802"/>
      <c r="M126" s="825"/>
      <c r="N126" s="825"/>
      <c r="O126" s="825">
        <v>20000</v>
      </c>
      <c r="P126" s="863">
        <v>40000</v>
      </c>
    </row>
    <row r="127" spans="1:17" s="843" customFormat="1" ht="13">
      <c r="A127" s="836">
        <v>5512</v>
      </c>
      <c r="B127" s="837">
        <v>6121</v>
      </c>
      <c r="C127" s="838" t="s">
        <v>683</v>
      </c>
      <c r="D127" s="839"/>
      <c r="E127" s="839"/>
      <c r="F127" s="839"/>
      <c r="G127" s="839" t="e">
        <f>#REF!</f>
        <v>#REF!</v>
      </c>
      <c r="H127" s="839" t="e">
        <f t="shared" si="18"/>
        <v>#REF!</v>
      </c>
      <c r="I127" s="840" t="e">
        <f>#REF!</f>
        <v>#REF!</v>
      </c>
      <c r="J127" s="841"/>
      <c r="K127" s="840"/>
      <c r="L127" s="840"/>
      <c r="M127" s="842"/>
      <c r="N127" s="842"/>
      <c r="O127" s="842"/>
      <c r="P127" s="901">
        <v>500000</v>
      </c>
      <c r="Q127" s="981" t="s">
        <v>684</v>
      </c>
    </row>
    <row r="128" spans="1:17" ht="13">
      <c r="A128" s="773">
        <v>6112</v>
      </c>
      <c r="B128" s="772">
        <v>5023</v>
      </c>
      <c r="C128" s="785" t="s">
        <v>685</v>
      </c>
      <c r="D128" s="784">
        <f>1400000+150000</f>
        <v>1550000</v>
      </c>
      <c r="E128" s="784">
        <v>1550000</v>
      </c>
      <c r="F128" s="784">
        <v>1149263</v>
      </c>
      <c r="G128" s="784">
        <f t="shared" si="16"/>
        <v>400737</v>
      </c>
      <c r="H128" s="784">
        <f t="shared" si="18"/>
        <v>1550000</v>
      </c>
      <c r="I128" s="802">
        <f t="shared" ref="I128:I154" si="20">H128</f>
        <v>1550000</v>
      </c>
      <c r="J128" s="810"/>
      <c r="K128" s="802">
        <v>1267163</v>
      </c>
      <c r="L128" s="802">
        <v>1550000</v>
      </c>
      <c r="M128" s="825">
        <v>1800000</v>
      </c>
      <c r="N128" s="825">
        <v>1760000</v>
      </c>
      <c r="O128" s="825">
        <v>1760000</v>
      </c>
      <c r="P128" s="863">
        <v>2100000</v>
      </c>
      <c r="Q128" s="982" t="s">
        <v>686</v>
      </c>
    </row>
    <row r="129" spans="1:17" ht="13">
      <c r="A129" s="773">
        <v>6112</v>
      </c>
      <c r="B129" s="772">
        <v>5026</v>
      </c>
      <c r="C129" s="785" t="s">
        <v>687</v>
      </c>
      <c r="D129" s="784"/>
      <c r="E129" s="784"/>
      <c r="F129" s="784"/>
      <c r="G129" s="784"/>
      <c r="H129" s="784"/>
      <c r="I129" s="802"/>
      <c r="J129" s="810"/>
      <c r="K129" s="802"/>
      <c r="L129" s="802"/>
      <c r="M129" s="825"/>
      <c r="N129" s="825"/>
      <c r="O129" s="825">
        <v>340000</v>
      </c>
      <c r="P129" s="863"/>
    </row>
    <row r="130" spans="1:17" ht="13">
      <c r="A130" s="773">
        <v>6112</v>
      </c>
      <c r="B130" s="772">
        <v>5031</v>
      </c>
      <c r="C130" s="785" t="s">
        <v>688</v>
      </c>
      <c r="D130" s="784">
        <v>270000</v>
      </c>
      <c r="E130" s="784">
        <v>270000</v>
      </c>
      <c r="F130" s="784">
        <v>222151</v>
      </c>
      <c r="G130" s="784">
        <f t="shared" si="16"/>
        <v>47849</v>
      </c>
      <c r="H130" s="784">
        <f t="shared" si="18"/>
        <v>270000</v>
      </c>
      <c r="I130" s="802">
        <f t="shared" si="20"/>
        <v>270000</v>
      </c>
      <c r="J130" s="810"/>
      <c r="K130" s="802">
        <v>252558</v>
      </c>
      <c r="L130" s="802">
        <v>270000</v>
      </c>
      <c r="M130" s="825">
        <v>300000</v>
      </c>
      <c r="N130" s="825">
        <v>330000</v>
      </c>
      <c r="O130" s="825">
        <v>250000</v>
      </c>
      <c r="P130" s="863"/>
      <c r="Q130" s="120" t="s">
        <v>1185</v>
      </c>
    </row>
    <row r="131" spans="1:17" ht="13">
      <c r="A131" s="773">
        <v>6112</v>
      </c>
      <c r="B131" s="772">
        <v>5032</v>
      </c>
      <c r="C131" s="785" t="s">
        <v>689</v>
      </c>
      <c r="D131" s="784">
        <v>125000</v>
      </c>
      <c r="E131" s="784">
        <v>125000</v>
      </c>
      <c r="F131" s="784">
        <v>100555</v>
      </c>
      <c r="G131" s="784">
        <f t="shared" si="16"/>
        <v>24445</v>
      </c>
      <c r="H131" s="784">
        <f t="shared" si="18"/>
        <v>125000</v>
      </c>
      <c r="I131" s="802">
        <f t="shared" si="20"/>
        <v>125000</v>
      </c>
      <c r="J131" s="810"/>
      <c r="K131" s="802">
        <v>115047</v>
      </c>
      <c r="L131" s="802">
        <v>125000</v>
      </c>
      <c r="M131" s="825">
        <v>150000</v>
      </c>
      <c r="N131" s="825">
        <v>165000</v>
      </c>
      <c r="O131" s="825">
        <v>165000</v>
      </c>
      <c r="P131" s="863">
        <v>190000</v>
      </c>
    </row>
    <row r="132" spans="1:17" ht="13">
      <c r="A132" s="773" t="s">
        <v>690</v>
      </c>
      <c r="B132" s="772">
        <v>5021</v>
      </c>
      <c r="C132" s="785" t="s">
        <v>691</v>
      </c>
      <c r="D132" s="784"/>
      <c r="E132" s="784"/>
      <c r="F132" s="784">
        <v>8851.15</v>
      </c>
      <c r="G132" s="784">
        <v>0</v>
      </c>
      <c r="H132" s="784">
        <f t="shared" si="18"/>
        <v>8851.15</v>
      </c>
      <c r="I132" s="802">
        <f t="shared" si="20"/>
        <v>8851.15</v>
      </c>
      <c r="J132" s="810">
        <v>-8851</v>
      </c>
      <c r="K132" s="802"/>
      <c r="L132" s="802"/>
      <c r="M132" s="825"/>
      <c r="N132" s="825"/>
      <c r="O132" s="825">
        <f>8929+35504</f>
        <v>44433</v>
      </c>
      <c r="P132" s="863"/>
    </row>
    <row r="133" spans="1:17" ht="13">
      <c r="A133" s="773" t="s">
        <v>690</v>
      </c>
      <c r="B133" s="772">
        <v>5175</v>
      </c>
      <c r="C133" s="785" t="s">
        <v>692</v>
      </c>
      <c r="D133" s="784"/>
      <c r="E133" s="784"/>
      <c r="F133" s="784"/>
      <c r="G133" s="784"/>
      <c r="H133" s="784"/>
      <c r="I133" s="802"/>
      <c r="J133" s="810"/>
      <c r="K133" s="802"/>
      <c r="L133" s="802"/>
      <c r="M133" s="825"/>
      <c r="N133" s="825"/>
      <c r="O133" s="825">
        <f>1266+3096</f>
        <v>4362</v>
      </c>
      <c r="P133" s="863"/>
    </row>
    <row r="134" spans="1:17" ht="13">
      <c r="A134" s="773">
        <v>6171</v>
      </c>
      <c r="B134" s="772">
        <v>5011</v>
      </c>
      <c r="C134" s="785" t="s">
        <v>693</v>
      </c>
      <c r="D134" s="784">
        <v>400000</v>
      </c>
      <c r="E134" s="784">
        <v>700000</v>
      </c>
      <c r="F134" s="784">
        <v>582730</v>
      </c>
      <c r="G134" s="784">
        <f t="shared" ref="G134:G165" si="21">E134-F134</f>
        <v>117270</v>
      </c>
      <c r="H134" s="784">
        <f t="shared" si="18"/>
        <v>700000</v>
      </c>
      <c r="I134" s="802">
        <f t="shared" si="20"/>
        <v>700000</v>
      </c>
      <c r="J134" s="810"/>
      <c r="K134" s="802">
        <v>679093</v>
      </c>
      <c r="L134" s="802">
        <v>750000</v>
      </c>
      <c r="M134" s="825">
        <v>900000</v>
      </c>
      <c r="N134" s="825">
        <v>1000000</v>
      </c>
      <c r="O134" s="825">
        <v>1100000</v>
      </c>
      <c r="P134" s="863">
        <v>2500000</v>
      </c>
      <c r="Q134" s="980" t="s">
        <v>1186</v>
      </c>
    </row>
    <row r="135" spans="1:17" ht="13">
      <c r="A135" s="773">
        <v>6171</v>
      </c>
      <c r="B135" s="772">
        <v>5021</v>
      </c>
      <c r="C135" s="785" t="s">
        <v>694</v>
      </c>
      <c r="D135" s="784">
        <v>60000</v>
      </c>
      <c r="E135" s="784">
        <v>60000</v>
      </c>
      <c r="F135" s="784">
        <v>36445</v>
      </c>
      <c r="G135" s="784">
        <f t="shared" si="21"/>
        <v>23555</v>
      </c>
      <c r="H135" s="784">
        <f t="shared" si="18"/>
        <v>60000</v>
      </c>
      <c r="I135" s="802">
        <f t="shared" si="20"/>
        <v>60000</v>
      </c>
      <c r="J135" s="810"/>
      <c r="K135" s="802">
        <v>70573</v>
      </c>
      <c r="L135" s="802">
        <v>90000</v>
      </c>
      <c r="M135" s="825">
        <v>120000</v>
      </c>
      <c r="N135" s="825">
        <v>120000</v>
      </c>
      <c r="O135" s="825">
        <v>200000</v>
      </c>
      <c r="P135" s="863">
        <v>220000</v>
      </c>
    </row>
    <row r="136" spans="1:17" ht="13">
      <c r="A136" s="773">
        <v>6171</v>
      </c>
      <c r="B136" s="772">
        <v>5031</v>
      </c>
      <c r="C136" s="785" t="s">
        <v>695</v>
      </c>
      <c r="D136" s="784">
        <v>120000</v>
      </c>
      <c r="E136" s="784">
        <v>120000</v>
      </c>
      <c r="F136" s="784">
        <v>144340</v>
      </c>
      <c r="G136" s="784">
        <f>0.25*G134</f>
        <v>29317.5</v>
      </c>
      <c r="H136" s="784">
        <f t="shared" si="18"/>
        <v>173657.5</v>
      </c>
      <c r="I136" s="802">
        <f t="shared" si="20"/>
        <v>173657.5</v>
      </c>
      <c r="J136" s="810"/>
      <c r="K136" s="802">
        <v>180934</v>
      </c>
      <c r="L136" s="802">
        <v>200000</v>
      </c>
      <c r="M136" s="825">
        <v>250000</v>
      </c>
      <c r="N136" s="825">
        <v>250000</v>
      </c>
      <c r="O136" s="825">
        <v>300000</v>
      </c>
      <c r="P136" s="863">
        <v>620000</v>
      </c>
    </row>
    <row r="137" spans="1:17" ht="13">
      <c r="A137" s="773">
        <v>6171</v>
      </c>
      <c r="B137" s="772">
        <v>5032</v>
      </c>
      <c r="C137" s="785" t="s">
        <v>696</v>
      </c>
      <c r="D137" s="784">
        <v>40000</v>
      </c>
      <c r="E137" s="784">
        <v>40000</v>
      </c>
      <c r="F137" s="784">
        <v>52351</v>
      </c>
      <c r="G137" s="784">
        <f>0.1*G134</f>
        <v>11727</v>
      </c>
      <c r="H137" s="784">
        <f t="shared" si="18"/>
        <v>64078</v>
      </c>
      <c r="I137" s="802">
        <f t="shared" si="20"/>
        <v>64078</v>
      </c>
      <c r="J137" s="810"/>
      <c r="K137" s="802">
        <v>65662</v>
      </c>
      <c r="L137" s="802">
        <v>80000</v>
      </c>
      <c r="M137" s="825">
        <v>90000</v>
      </c>
      <c r="N137" s="825">
        <v>125000</v>
      </c>
      <c r="O137" s="825">
        <v>125000</v>
      </c>
      <c r="P137" s="863">
        <v>225000</v>
      </c>
    </row>
    <row r="138" spans="1:17" ht="13">
      <c r="A138" s="773">
        <v>6171</v>
      </c>
      <c r="B138" s="772">
        <v>5038</v>
      </c>
      <c r="C138" s="785" t="s">
        <v>697</v>
      </c>
      <c r="D138" s="784">
        <v>1000</v>
      </c>
      <c r="E138" s="784">
        <v>1000</v>
      </c>
      <c r="F138" s="784">
        <v>279</v>
      </c>
      <c r="G138" s="784">
        <f t="shared" si="21"/>
        <v>721</v>
      </c>
      <c r="H138" s="784">
        <f t="shared" si="18"/>
        <v>1000</v>
      </c>
      <c r="I138" s="802">
        <f t="shared" si="20"/>
        <v>1000</v>
      </c>
      <c r="J138" s="810"/>
      <c r="K138" s="802">
        <v>473</v>
      </c>
      <c r="L138" s="802">
        <v>1000</v>
      </c>
      <c r="M138" s="825">
        <v>1000</v>
      </c>
      <c r="N138" s="825">
        <v>1000</v>
      </c>
      <c r="O138" s="825">
        <v>1000</v>
      </c>
      <c r="P138" s="863">
        <v>5000</v>
      </c>
    </row>
    <row r="139" spans="1:17" ht="13">
      <c r="A139" s="773">
        <v>6171</v>
      </c>
      <c r="B139" s="772">
        <v>5137</v>
      </c>
      <c r="C139" s="785" t="s">
        <v>698</v>
      </c>
      <c r="D139" s="784">
        <v>20000</v>
      </c>
      <c r="E139" s="784">
        <v>45000</v>
      </c>
      <c r="F139" s="784">
        <v>41317.78</v>
      </c>
      <c r="G139" s="784">
        <f t="shared" si="21"/>
        <v>3682.2200000000012</v>
      </c>
      <c r="H139" s="784">
        <f t="shared" si="18"/>
        <v>45000</v>
      </c>
      <c r="I139" s="802">
        <f t="shared" si="20"/>
        <v>45000</v>
      </c>
      <c r="J139" s="810"/>
      <c r="K139" s="802"/>
      <c r="L139" s="802"/>
      <c r="M139" s="825"/>
      <c r="N139" s="825">
        <v>100000</v>
      </c>
      <c r="O139" s="825">
        <v>100000</v>
      </c>
      <c r="P139" s="863">
        <v>100000</v>
      </c>
    </row>
    <row r="140" spans="1:17" ht="13">
      <c r="A140" s="773">
        <v>6171</v>
      </c>
      <c r="B140" s="772">
        <v>5139</v>
      </c>
      <c r="C140" s="785" t="s">
        <v>699</v>
      </c>
      <c r="D140" s="784">
        <v>45000</v>
      </c>
      <c r="E140" s="784">
        <v>85000</v>
      </c>
      <c r="F140" s="784">
        <v>98068.03</v>
      </c>
      <c r="G140" s="784">
        <f>100000-F140</f>
        <v>1931.9700000000012</v>
      </c>
      <c r="H140" s="784">
        <f t="shared" si="18"/>
        <v>100000</v>
      </c>
      <c r="I140" s="802">
        <f t="shared" si="20"/>
        <v>100000</v>
      </c>
      <c r="J140" s="810"/>
      <c r="K140" s="802">
        <v>101131</v>
      </c>
      <c r="L140" s="802">
        <v>110000</v>
      </c>
      <c r="M140" s="825">
        <v>50000</v>
      </c>
      <c r="N140" s="825">
        <v>100000</v>
      </c>
      <c r="O140" s="825">
        <v>130000</v>
      </c>
      <c r="P140" s="863">
        <v>150000</v>
      </c>
    </row>
    <row r="141" spans="1:17" ht="13">
      <c r="A141" s="773">
        <v>6171</v>
      </c>
      <c r="B141" s="772">
        <v>5151</v>
      </c>
      <c r="C141" s="785" t="s">
        <v>700</v>
      </c>
      <c r="D141" s="784">
        <v>1000</v>
      </c>
      <c r="E141" s="784">
        <v>1600</v>
      </c>
      <c r="F141" s="784">
        <v>1327</v>
      </c>
      <c r="G141" s="784">
        <f t="shared" si="21"/>
        <v>273</v>
      </c>
      <c r="H141" s="784">
        <f t="shared" si="18"/>
        <v>1600</v>
      </c>
      <c r="I141" s="802">
        <f t="shared" si="20"/>
        <v>1600</v>
      </c>
      <c r="J141" s="810"/>
      <c r="K141" s="802"/>
      <c r="L141" s="802">
        <v>1600</v>
      </c>
      <c r="M141" s="825">
        <v>4000</v>
      </c>
      <c r="N141" s="825">
        <v>5000</v>
      </c>
      <c r="O141" s="825">
        <v>15000</v>
      </c>
      <c r="P141" s="863">
        <v>15000</v>
      </c>
    </row>
    <row r="142" spans="1:17" ht="13">
      <c r="A142" s="773">
        <v>6171</v>
      </c>
      <c r="B142" s="772">
        <v>5153</v>
      </c>
      <c r="C142" s="785" t="s">
        <v>701</v>
      </c>
      <c r="D142" s="784">
        <v>40000</v>
      </c>
      <c r="E142" s="784">
        <v>40000</v>
      </c>
      <c r="F142" s="784">
        <v>31500</v>
      </c>
      <c r="G142" s="784">
        <f t="shared" si="21"/>
        <v>8500</v>
      </c>
      <c r="H142" s="784">
        <f t="shared" si="18"/>
        <v>40000</v>
      </c>
      <c r="I142" s="802">
        <f t="shared" si="20"/>
        <v>40000</v>
      </c>
      <c r="J142" s="810"/>
      <c r="K142" s="802">
        <v>30600</v>
      </c>
      <c r="L142" s="802">
        <v>40000</v>
      </c>
      <c r="M142" s="825">
        <v>40000</v>
      </c>
      <c r="N142" s="825">
        <v>40000</v>
      </c>
      <c r="O142" s="825">
        <v>50000</v>
      </c>
      <c r="P142" s="863">
        <v>50000</v>
      </c>
    </row>
    <row r="143" spans="1:17" ht="13">
      <c r="A143" s="773">
        <v>6171</v>
      </c>
      <c r="B143" s="772">
        <v>5154</v>
      </c>
      <c r="C143" s="785" t="s">
        <v>702</v>
      </c>
      <c r="D143" s="784">
        <v>15000</v>
      </c>
      <c r="E143" s="784">
        <v>15000</v>
      </c>
      <c r="F143" s="784">
        <v>10640</v>
      </c>
      <c r="G143" s="784">
        <f t="shared" si="21"/>
        <v>4360</v>
      </c>
      <c r="H143" s="784">
        <f t="shared" si="18"/>
        <v>15000</v>
      </c>
      <c r="I143" s="802">
        <f t="shared" si="20"/>
        <v>15000</v>
      </c>
      <c r="J143" s="810"/>
      <c r="K143" s="802"/>
      <c r="L143" s="802">
        <v>15000</v>
      </c>
      <c r="M143" s="825">
        <v>60000</v>
      </c>
      <c r="N143" s="825">
        <v>80000</v>
      </c>
      <c r="O143" s="825">
        <v>60000</v>
      </c>
      <c r="P143" s="863">
        <v>60000</v>
      </c>
    </row>
    <row r="144" spans="1:17" ht="13">
      <c r="A144" s="773">
        <v>6171</v>
      </c>
      <c r="B144" s="772">
        <v>5161</v>
      </c>
      <c r="C144" s="785" t="s">
        <v>703</v>
      </c>
      <c r="D144" s="784">
        <v>5000</v>
      </c>
      <c r="E144" s="784">
        <v>5000</v>
      </c>
      <c r="F144" s="784">
        <v>10071</v>
      </c>
      <c r="G144" s="784">
        <f>12000-F144</f>
        <v>1929</v>
      </c>
      <c r="H144" s="784">
        <f t="shared" si="18"/>
        <v>12000</v>
      </c>
      <c r="I144" s="802">
        <f t="shared" si="20"/>
        <v>12000</v>
      </c>
      <c r="J144" s="810"/>
      <c r="K144" s="802">
        <v>1718</v>
      </c>
      <c r="L144" s="802">
        <v>5000</v>
      </c>
      <c r="M144" s="825">
        <v>3000</v>
      </c>
      <c r="N144" s="825">
        <v>5000</v>
      </c>
      <c r="O144" s="825">
        <v>5000</v>
      </c>
      <c r="P144" s="863">
        <v>5000</v>
      </c>
    </row>
    <row r="145" spans="1:17" ht="13">
      <c r="A145" s="773">
        <v>6171</v>
      </c>
      <c r="B145" s="772">
        <v>5162</v>
      </c>
      <c r="C145" s="785" t="s">
        <v>704</v>
      </c>
      <c r="D145" s="784">
        <v>25000</v>
      </c>
      <c r="E145" s="784">
        <v>25000</v>
      </c>
      <c r="F145" s="784">
        <v>19428.080000000002</v>
      </c>
      <c r="G145" s="784">
        <f t="shared" si="21"/>
        <v>5571.9199999999983</v>
      </c>
      <c r="H145" s="784">
        <f t="shared" si="18"/>
        <v>25000</v>
      </c>
      <c r="I145" s="802">
        <f t="shared" si="20"/>
        <v>25000</v>
      </c>
      <c r="J145" s="810"/>
      <c r="K145" s="802">
        <v>28542</v>
      </c>
      <c r="L145" s="802">
        <v>30000</v>
      </c>
      <c r="M145" s="825">
        <v>30000</v>
      </c>
      <c r="N145" s="825">
        <v>30000</v>
      </c>
      <c r="O145" s="825">
        <v>35000</v>
      </c>
      <c r="P145" s="863">
        <v>35000</v>
      </c>
    </row>
    <row r="146" spans="1:17" ht="13">
      <c r="A146" s="773">
        <v>6171</v>
      </c>
      <c r="B146" s="772">
        <v>5163</v>
      </c>
      <c r="C146" s="785" t="s">
        <v>705</v>
      </c>
      <c r="D146" s="784">
        <v>30000</v>
      </c>
      <c r="E146" s="784">
        <v>30000</v>
      </c>
      <c r="F146" s="784">
        <v>23564.799999999999</v>
      </c>
      <c r="G146" s="784">
        <f t="shared" si="21"/>
        <v>6435.2000000000007</v>
      </c>
      <c r="H146" s="784">
        <f t="shared" si="18"/>
        <v>30000</v>
      </c>
      <c r="I146" s="802">
        <f t="shared" si="20"/>
        <v>30000</v>
      </c>
      <c r="J146" s="810"/>
      <c r="K146" s="802">
        <v>70124</v>
      </c>
      <c r="L146" s="802">
        <v>70500</v>
      </c>
      <c r="M146" s="825">
        <v>90000</v>
      </c>
      <c r="N146" s="825">
        <v>90000</v>
      </c>
      <c r="O146" s="825">
        <v>90000</v>
      </c>
      <c r="P146" s="863">
        <v>90000</v>
      </c>
    </row>
    <row r="147" spans="1:17" ht="13">
      <c r="A147" s="773">
        <v>6171</v>
      </c>
      <c r="B147" s="772">
        <v>5166</v>
      </c>
      <c r="C147" s="785" t="s">
        <v>706</v>
      </c>
      <c r="D147" s="784">
        <v>100000</v>
      </c>
      <c r="E147" s="784">
        <v>100000</v>
      </c>
      <c r="F147" s="784">
        <v>25168</v>
      </c>
      <c r="G147" s="784">
        <f t="shared" si="21"/>
        <v>74832</v>
      </c>
      <c r="H147" s="784">
        <f t="shared" si="18"/>
        <v>100000</v>
      </c>
      <c r="I147" s="802">
        <f t="shared" si="20"/>
        <v>100000</v>
      </c>
      <c r="J147" s="810"/>
      <c r="K147" s="802">
        <v>44162</v>
      </c>
      <c r="L147" s="802">
        <v>100000</v>
      </c>
      <c r="M147" s="825">
        <v>450000</v>
      </c>
      <c r="N147" s="825">
        <v>200000</v>
      </c>
      <c r="O147" s="825">
        <v>400000</v>
      </c>
      <c r="P147" s="863">
        <v>1000000</v>
      </c>
    </row>
    <row r="148" spans="1:17" ht="13">
      <c r="A148" s="773">
        <v>6171</v>
      </c>
      <c r="B148" s="772">
        <v>5167</v>
      </c>
      <c r="C148" s="785" t="s">
        <v>707</v>
      </c>
      <c r="D148" s="784">
        <v>5000</v>
      </c>
      <c r="E148" s="784">
        <v>5000</v>
      </c>
      <c r="F148" s="784">
        <v>1000</v>
      </c>
      <c r="G148" s="784">
        <f t="shared" si="21"/>
        <v>4000</v>
      </c>
      <c r="H148" s="784">
        <f t="shared" si="18"/>
        <v>5000</v>
      </c>
      <c r="I148" s="802">
        <f t="shared" si="20"/>
        <v>5000</v>
      </c>
      <c r="J148" s="810"/>
      <c r="K148" s="802">
        <v>800</v>
      </c>
      <c r="L148" s="802">
        <v>5000</v>
      </c>
      <c r="M148" s="825"/>
      <c r="N148" s="825">
        <v>5000</v>
      </c>
      <c r="O148" s="825"/>
      <c r="P148" s="863">
        <v>30000</v>
      </c>
    </row>
    <row r="149" spans="1:17" ht="13">
      <c r="A149" s="773">
        <v>6171</v>
      </c>
      <c r="B149" s="772">
        <v>5168</v>
      </c>
      <c r="C149" s="785" t="s">
        <v>708</v>
      </c>
      <c r="D149" s="784">
        <v>230000</v>
      </c>
      <c r="E149" s="784">
        <v>230000</v>
      </c>
      <c r="F149" s="784">
        <v>208858.12</v>
      </c>
      <c r="G149" s="784">
        <f t="shared" si="21"/>
        <v>21141.880000000005</v>
      </c>
      <c r="H149" s="784">
        <f t="shared" si="18"/>
        <v>230000</v>
      </c>
      <c r="I149" s="802">
        <f t="shared" si="20"/>
        <v>230000</v>
      </c>
      <c r="J149" s="810"/>
      <c r="K149" s="802">
        <v>189141</v>
      </c>
      <c r="L149" s="802">
        <v>230000</v>
      </c>
      <c r="M149" s="825">
        <v>250000</v>
      </c>
      <c r="N149" s="825">
        <v>300000</v>
      </c>
      <c r="O149" s="825">
        <v>300000</v>
      </c>
      <c r="P149" s="863">
        <v>350000</v>
      </c>
    </row>
    <row r="150" spans="1:17" ht="13">
      <c r="A150" s="773">
        <v>6171</v>
      </c>
      <c r="B150" s="772">
        <v>5169</v>
      </c>
      <c r="C150" s="785" t="s">
        <v>709</v>
      </c>
      <c r="D150" s="784">
        <v>70000</v>
      </c>
      <c r="E150" s="784">
        <v>70000</v>
      </c>
      <c r="F150" s="784">
        <v>18863.400000000001</v>
      </c>
      <c r="G150" s="784">
        <f t="shared" si="21"/>
        <v>51136.6</v>
      </c>
      <c r="H150" s="784">
        <f t="shared" si="18"/>
        <v>70000</v>
      </c>
      <c r="I150" s="802">
        <f t="shared" si="20"/>
        <v>70000</v>
      </c>
      <c r="J150" s="810"/>
      <c r="K150" s="802">
        <v>15578</v>
      </c>
      <c r="L150" s="802">
        <v>50000</v>
      </c>
      <c r="M150" s="825">
        <v>75000</v>
      </c>
      <c r="N150" s="825">
        <v>50000</v>
      </c>
      <c r="O150" s="825">
        <v>130000</v>
      </c>
      <c r="P150" s="863">
        <v>150000</v>
      </c>
    </row>
    <row r="151" spans="1:17" ht="13">
      <c r="A151" s="773">
        <v>6171</v>
      </c>
      <c r="B151" s="772">
        <v>5171</v>
      </c>
      <c r="C151" s="785" t="s">
        <v>710</v>
      </c>
      <c r="D151" s="784">
        <v>50000</v>
      </c>
      <c r="E151" s="784">
        <v>350000</v>
      </c>
      <c r="F151" s="784">
        <v>34740.69</v>
      </c>
      <c r="G151" s="784">
        <f t="shared" si="21"/>
        <v>315259.31</v>
      </c>
      <c r="H151" s="784">
        <f t="shared" si="18"/>
        <v>350000</v>
      </c>
      <c r="I151" s="802">
        <f t="shared" si="20"/>
        <v>350000</v>
      </c>
      <c r="J151" s="810"/>
      <c r="K151" s="802">
        <v>178861</v>
      </c>
      <c r="L151" s="802">
        <v>200000</v>
      </c>
      <c r="M151" s="825">
        <v>40000</v>
      </c>
      <c r="N151" s="825">
        <v>100000</v>
      </c>
      <c r="O151" s="825">
        <v>5000</v>
      </c>
      <c r="P151" s="863">
        <v>50000</v>
      </c>
    </row>
    <row r="152" spans="1:17" ht="13">
      <c r="A152" s="773">
        <v>6171</v>
      </c>
      <c r="B152" s="772">
        <v>5172</v>
      </c>
      <c r="C152" s="785" t="s">
        <v>711</v>
      </c>
      <c r="D152" s="784"/>
      <c r="E152" s="784"/>
      <c r="F152" s="784"/>
      <c r="G152" s="784"/>
      <c r="H152" s="784"/>
      <c r="I152" s="802"/>
      <c r="J152" s="810"/>
      <c r="K152" s="802"/>
      <c r="L152" s="802"/>
      <c r="M152" s="825"/>
      <c r="N152" s="825"/>
      <c r="O152" s="825">
        <v>31000</v>
      </c>
      <c r="P152" s="863">
        <v>50000</v>
      </c>
    </row>
    <row r="153" spans="1:17" ht="13">
      <c r="A153" s="773">
        <v>6171</v>
      </c>
      <c r="B153" s="772">
        <v>5173</v>
      </c>
      <c r="C153" s="785" t="s">
        <v>712</v>
      </c>
      <c r="D153" s="784">
        <v>500</v>
      </c>
      <c r="E153" s="784">
        <v>500</v>
      </c>
      <c r="F153" s="784"/>
      <c r="G153" s="784">
        <f t="shared" si="21"/>
        <v>500</v>
      </c>
      <c r="H153" s="784">
        <f t="shared" si="18"/>
        <v>500</v>
      </c>
      <c r="I153" s="802">
        <f t="shared" si="20"/>
        <v>500</v>
      </c>
      <c r="J153" s="810"/>
      <c r="K153" s="802"/>
      <c r="L153" s="802">
        <v>500</v>
      </c>
      <c r="M153" s="825"/>
      <c r="N153" s="825"/>
      <c r="O153" s="825"/>
      <c r="P153" s="863">
        <v>10000</v>
      </c>
    </row>
    <row r="154" spans="1:17" ht="13">
      <c r="A154" s="773">
        <v>6171</v>
      </c>
      <c r="B154" s="772">
        <v>5175</v>
      </c>
      <c r="C154" s="785" t="s">
        <v>713</v>
      </c>
      <c r="D154" s="784">
        <v>10000</v>
      </c>
      <c r="E154" s="784">
        <v>10000</v>
      </c>
      <c r="F154" s="784">
        <v>15750</v>
      </c>
      <c r="G154" s="784">
        <f>20000-F154</f>
        <v>4250</v>
      </c>
      <c r="H154" s="784">
        <f t="shared" si="18"/>
        <v>20000</v>
      </c>
      <c r="I154" s="802">
        <f t="shared" si="20"/>
        <v>20000</v>
      </c>
      <c r="J154" s="810"/>
      <c r="K154" s="802">
        <v>8033</v>
      </c>
      <c r="L154" s="802">
        <v>20000</v>
      </c>
      <c r="M154" s="825">
        <v>20000</v>
      </c>
      <c r="N154" s="825">
        <v>20000</v>
      </c>
      <c r="O154" s="825">
        <v>20000</v>
      </c>
      <c r="P154" s="863">
        <v>20000</v>
      </c>
    </row>
    <row r="155" spans="1:17" ht="13">
      <c r="A155" s="773">
        <v>6171</v>
      </c>
      <c r="B155" s="772">
        <v>5229</v>
      </c>
      <c r="C155" s="785" t="s">
        <v>714</v>
      </c>
      <c r="D155" s="784">
        <v>150000</v>
      </c>
      <c r="E155" s="784">
        <v>150000</v>
      </c>
      <c r="F155" s="784">
        <v>10820</v>
      </c>
      <c r="G155" s="784">
        <f t="shared" si="21"/>
        <v>139180</v>
      </c>
      <c r="H155" s="784">
        <f t="shared" si="18"/>
        <v>150000</v>
      </c>
      <c r="I155" s="802">
        <f>H155</f>
        <v>150000</v>
      </c>
      <c r="J155" s="810"/>
      <c r="K155" s="802">
        <v>277586</v>
      </c>
      <c r="L155" s="802">
        <v>150000</v>
      </c>
      <c r="M155" s="825">
        <v>150000</v>
      </c>
      <c r="N155" s="825">
        <v>150000</v>
      </c>
      <c r="O155" s="825">
        <v>70000</v>
      </c>
      <c r="P155" s="863">
        <v>250000</v>
      </c>
      <c r="Q155" s="982"/>
    </row>
    <row r="156" spans="1:17" ht="13">
      <c r="A156" s="773">
        <v>6171</v>
      </c>
      <c r="B156" s="772">
        <v>5321</v>
      </c>
      <c r="C156" s="785" t="s">
        <v>715</v>
      </c>
      <c r="D156" s="784">
        <v>100000</v>
      </c>
      <c r="E156" s="784">
        <v>100000</v>
      </c>
      <c r="F156" s="784">
        <v>52400</v>
      </c>
      <c r="G156" s="784">
        <f t="shared" si="21"/>
        <v>47600</v>
      </c>
      <c r="H156" s="784">
        <f t="shared" si="18"/>
        <v>100000</v>
      </c>
      <c r="I156" s="802">
        <f>H156</f>
        <v>100000</v>
      </c>
      <c r="J156" s="810"/>
      <c r="K156" s="802">
        <v>100000</v>
      </c>
      <c r="L156" s="802">
        <v>100000</v>
      </c>
      <c r="M156" s="825">
        <v>100000</v>
      </c>
      <c r="N156" s="825">
        <v>200000</v>
      </c>
      <c r="O156" s="825">
        <v>200000</v>
      </c>
      <c r="P156" s="863">
        <v>200000</v>
      </c>
    </row>
    <row r="157" spans="1:17" ht="13">
      <c r="A157" s="773">
        <v>6171</v>
      </c>
      <c r="B157" s="772">
        <v>5329</v>
      </c>
      <c r="C157" s="785" t="s">
        <v>716</v>
      </c>
      <c r="D157" s="784"/>
      <c r="E157" s="784">
        <v>33200</v>
      </c>
      <c r="F157" s="784">
        <v>33200</v>
      </c>
      <c r="G157" s="784">
        <f t="shared" si="21"/>
        <v>0</v>
      </c>
      <c r="H157" s="784">
        <f t="shared" si="18"/>
        <v>33200</v>
      </c>
      <c r="I157" s="802">
        <f>H157</f>
        <v>33200</v>
      </c>
      <c r="J157" s="810"/>
      <c r="K157" s="802">
        <v>35020</v>
      </c>
      <c r="L157" s="802">
        <v>35500</v>
      </c>
      <c r="M157" s="825">
        <v>36000</v>
      </c>
      <c r="N157" s="825">
        <v>37000</v>
      </c>
      <c r="O157" s="825"/>
      <c r="P157" s="863">
        <v>500000</v>
      </c>
    </row>
    <row r="158" spans="1:17" ht="13">
      <c r="A158" s="773">
        <v>6171</v>
      </c>
      <c r="B158" s="772">
        <v>5364</v>
      </c>
      <c r="C158" s="785" t="s">
        <v>717</v>
      </c>
      <c r="D158" s="784">
        <v>30000</v>
      </c>
      <c r="E158" s="784">
        <v>30000</v>
      </c>
      <c r="F158" s="784"/>
      <c r="G158" s="784">
        <f t="shared" si="21"/>
        <v>30000</v>
      </c>
      <c r="H158" s="784">
        <f t="shared" si="18"/>
        <v>30000</v>
      </c>
      <c r="I158" s="802">
        <f>H158</f>
        <v>30000</v>
      </c>
      <c r="J158" s="811">
        <v>-30000</v>
      </c>
      <c r="K158" s="802"/>
      <c r="L158" s="802"/>
      <c r="M158" s="825"/>
      <c r="N158" s="825"/>
      <c r="O158" s="825">
        <v>112200</v>
      </c>
      <c r="P158" s="863"/>
    </row>
    <row r="159" spans="1:17" ht="13">
      <c r="A159" s="773">
        <v>6171</v>
      </c>
      <c r="B159" s="772">
        <v>5492</v>
      </c>
      <c r="C159" s="785" t="s">
        <v>718</v>
      </c>
      <c r="D159" s="784"/>
      <c r="E159" s="784"/>
      <c r="F159" s="784"/>
      <c r="G159" s="784"/>
      <c r="H159" s="784"/>
      <c r="I159" s="802"/>
      <c r="J159" s="811"/>
      <c r="K159" s="802"/>
      <c r="L159" s="802"/>
      <c r="M159" s="825"/>
      <c r="N159" s="825"/>
      <c r="O159" s="825">
        <v>39000</v>
      </c>
      <c r="P159" s="863">
        <v>100000</v>
      </c>
    </row>
    <row r="160" spans="1:17" s="843" customFormat="1" ht="13">
      <c r="A160" s="836">
        <v>6171</v>
      </c>
      <c r="B160" s="837">
        <v>6121</v>
      </c>
      <c r="C160" s="838" t="s">
        <v>719</v>
      </c>
      <c r="D160" s="839">
        <v>1000000</v>
      </c>
      <c r="E160" s="839">
        <v>200000</v>
      </c>
      <c r="F160" s="839"/>
      <c r="G160" s="839" t="e">
        <f>#REF!</f>
        <v>#REF!</v>
      </c>
      <c r="H160" s="839" t="e">
        <f t="shared" si="18"/>
        <v>#REF!</v>
      </c>
      <c r="I160" s="840" t="e">
        <f>#REF!</f>
        <v>#REF!</v>
      </c>
      <c r="J160" s="840">
        <v>1200000</v>
      </c>
      <c r="K160" s="840"/>
      <c r="L160" s="840"/>
      <c r="M160" s="842"/>
      <c r="N160" s="842"/>
      <c r="O160" s="842"/>
      <c r="P160" s="901">
        <v>3500000</v>
      </c>
      <c r="Q160" s="981" t="s">
        <v>720</v>
      </c>
    </row>
    <row r="161" spans="1:16" s="843" customFormat="1" ht="13">
      <c r="A161" s="836">
        <v>6171</v>
      </c>
      <c r="B161" s="837">
        <v>6122</v>
      </c>
      <c r="C161" s="838" t="s">
        <v>721</v>
      </c>
      <c r="D161" s="839"/>
      <c r="E161" s="839"/>
      <c r="F161" s="839"/>
      <c r="G161" s="839"/>
      <c r="H161" s="839"/>
      <c r="I161" s="840"/>
      <c r="J161" s="840"/>
      <c r="K161" s="840"/>
      <c r="L161" s="840"/>
      <c r="M161" s="842"/>
      <c r="N161" s="842"/>
      <c r="O161" s="842">
        <v>300000</v>
      </c>
      <c r="P161" s="901"/>
    </row>
    <row r="162" spans="1:16" ht="13">
      <c r="A162" s="773">
        <v>6310</v>
      </c>
      <c r="B162" s="772">
        <v>5141</v>
      </c>
      <c r="C162" s="785" t="s">
        <v>722</v>
      </c>
      <c r="D162" s="784">
        <v>200000</v>
      </c>
      <c r="E162" s="784">
        <v>200000</v>
      </c>
      <c r="F162" s="784">
        <v>99018.94</v>
      </c>
      <c r="G162" s="784">
        <f>4*11000</f>
        <v>44000</v>
      </c>
      <c r="H162" s="784">
        <f t="shared" si="18"/>
        <v>143018.94</v>
      </c>
      <c r="I162" s="802">
        <f>12*10500</f>
        <v>126000</v>
      </c>
      <c r="J162" s="810"/>
      <c r="K162" s="802">
        <v>103446</v>
      </c>
      <c r="L162" s="802">
        <v>126000</v>
      </c>
      <c r="M162" s="825">
        <v>110000</v>
      </c>
      <c r="N162" s="825">
        <v>110000</v>
      </c>
      <c r="O162" s="825">
        <v>60000</v>
      </c>
      <c r="P162" s="863">
        <v>70000</v>
      </c>
    </row>
    <row r="163" spans="1:16" ht="13">
      <c r="A163" s="773">
        <v>6310</v>
      </c>
      <c r="B163" s="772">
        <v>5163</v>
      </c>
      <c r="C163" s="785" t="s">
        <v>723</v>
      </c>
      <c r="D163" s="784">
        <v>20000</v>
      </c>
      <c r="E163" s="784">
        <v>20000</v>
      </c>
      <c r="F163" s="784">
        <v>10436.4</v>
      </c>
      <c r="G163" s="784">
        <f t="shared" si="21"/>
        <v>9563.6</v>
      </c>
      <c r="H163" s="784">
        <f t="shared" si="18"/>
        <v>20000</v>
      </c>
      <c r="I163" s="802">
        <f>H163</f>
        <v>20000</v>
      </c>
      <c r="J163" s="810"/>
      <c r="K163" s="802">
        <v>5410</v>
      </c>
      <c r="L163" s="802">
        <v>15000</v>
      </c>
      <c r="M163" s="825">
        <v>10000</v>
      </c>
      <c r="N163" s="825">
        <v>10000</v>
      </c>
      <c r="O163" s="825">
        <v>10000</v>
      </c>
      <c r="P163" s="863">
        <v>10000</v>
      </c>
    </row>
    <row r="164" spans="1:16" ht="13">
      <c r="A164" s="773">
        <v>6310</v>
      </c>
      <c r="B164" s="772">
        <v>5362</v>
      </c>
      <c r="C164" s="785" t="s">
        <v>724</v>
      </c>
      <c r="D164" s="784">
        <v>600000</v>
      </c>
      <c r="E164" s="784">
        <v>600000</v>
      </c>
      <c r="F164" s="784">
        <v>202083</v>
      </c>
      <c r="G164" s="784">
        <f t="shared" si="21"/>
        <v>397917</v>
      </c>
      <c r="H164" s="784">
        <f t="shared" si="18"/>
        <v>600000</v>
      </c>
      <c r="I164" s="802">
        <f>H164</f>
        <v>600000</v>
      </c>
      <c r="J164" s="810"/>
      <c r="K164" s="802">
        <v>85109</v>
      </c>
      <c r="L164" s="802">
        <v>300000</v>
      </c>
      <c r="M164" s="825">
        <v>270000</v>
      </c>
      <c r="N164" s="825">
        <v>270000</v>
      </c>
      <c r="O164" s="825">
        <v>120000</v>
      </c>
      <c r="P164" s="863">
        <v>200000</v>
      </c>
    </row>
    <row r="165" spans="1:16" ht="13">
      <c r="A165" s="773">
        <v>6399</v>
      </c>
      <c r="B165" s="772">
        <v>5362</v>
      </c>
      <c r="C165" s="785" t="s">
        <v>725</v>
      </c>
      <c r="D165" s="784">
        <v>200000</v>
      </c>
      <c r="E165" s="784">
        <v>200000</v>
      </c>
      <c r="F165" s="784"/>
      <c r="G165" s="784">
        <f t="shared" si="21"/>
        <v>200000</v>
      </c>
      <c r="H165" s="784">
        <f t="shared" si="18"/>
        <v>200000</v>
      </c>
      <c r="I165" s="802">
        <f>H165</f>
        <v>200000</v>
      </c>
      <c r="J165" s="811">
        <v>-200000</v>
      </c>
      <c r="K165" s="802"/>
      <c r="L165" s="802">
        <v>200000</v>
      </c>
      <c r="M165" s="825">
        <v>620007</v>
      </c>
      <c r="N165" s="825">
        <v>600000</v>
      </c>
      <c r="O165" s="825">
        <v>87000</v>
      </c>
      <c r="P165" s="863">
        <v>100000</v>
      </c>
    </row>
    <row r="166" spans="1:16" ht="13">
      <c r="A166" s="1095" t="s">
        <v>726</v>
      </c>
      <c r="B166" s="1096"/>
      <c r="C166" s="1096"/>
      <c r="D166" s="782">
        <f t="shared" ref="D166:N166" si="22">SUM(D52:D165)</f>
        <v>43881900</v>
      </c>
      <c r="E166" s="782">
        <f t="shared" si="22"/>
        <v>46585900</v>
      </c>
      <c r="F166" s="782">
        <f t="shared" si="22"/>
        <v>33123496.800000001</v>
      </c>
      <c r="G166" s="782" t="e">
        <f t="shared" si="22"/>
        <v>#REF!</v>
      </c>
      <c r="H166" s="782" t="e">
        <f t="shared" si="22"/>
        <v>#REF!</v>
      </c>
      <c r="I166" s="801" t="e">
        <f t="shared" si="22"/>
        <v>#REF!</v>
      </c>
      <c r="J166" s="818">
        <f t="shared" si="22"/>
        <v>-238851</v>
      </c>
      <c r="K166" s="801">
        <f t="shared" si="22"/>
        <v>14623430</v>
      </c>
      <c r="L166" s="801" t="e">
        <f t="shared" si="22"/>
        <v>#REF!</v>
      </c>
      <c r="M166" s="865">
        <f t="shared" si="22"/>
        <v>19701107</v>
      </c>
      <c r="N166" s="865">
        <f t="shared" si="22"/>
        <v>35689100</v>
      </c>
      <c r="O166" s="858">
        <f>SUM(O51:O165)</f>
        <v>32750895</v>
      </c>
      <c r="P166" s="859">
        <f>SUM(P51:P165)</f>
        <v>99383000</v>
      </c>
    </row>
    <row r="167" spans="1:16" ht="13">
      <c r="A167" s="952"/>
      <c r="B167" s="952"/>
      <c r="C167" s="788"/>
      <c r="D167" s="787"/>
      <c r="E167" s="787"/>
      <c r="F167" s="787"/>
      <c r="G167" s="953"/>
      <c r="H167" s="954"/>
      <c r="I167" s="954"/>
      <c r="J167" s="795"/>
      <c r="K167" s="954"/>
      <c r="L167" s="954"/>
      <c r="M167" s="826"/>
      <c r="N167" s="826"/>
    </row>
    <row r="168" spans="1:16" ht="13">
      <c r="A168" s="1093" t="s">
        <v>727</v>
      </c>
      <c r="B168" s="1094"/>
      <c r="C168" s="1094"/>
      <c r="D168" s="797" t="e">
        <f t="shared" ref="D168:I168" si="23">D166-D169</f>
        <v>#REF!</v>
      </c>
      <c r="E168" s="797" t="e">
        <f t="shared" si="23"/>
        <v>#REF!</v>
      </c>
      <c r="F168" s="797" t="e">
        <f t="shared" si="23"/>
        <v>#REF!</v>
      </c>
      <c r="G168" s="797" t="e">
        <f t="shared" si="23"/>
        <v>#REF!</v>
      </c>
      <c r="H168" s="797" t="e">
        <f t="shared" si="23"/>
        <v>#REF!</v>
      </c>
      <c r="I168" s="804" t="e">
        <f t="shared" si="23"/>
        <v>#REF!</v>
      </c>
      <c r="J168" s="817"/>
      <c r="K168" s="804" t="e">
        <f t="shared" ref="K168:P168" si="24">K166-K169</f>
        <v>#REF!</v>
      </c>
      <c r="L168" s="804" t="e">
        <f t="shared" si="24"/>
        <v>#REF!</v>
      </c>
      <c r="M168" s="829" t="e">
        <f t="shared" si="24"/>
        <v>#REF!</v>
      </c>
      <c r="N168" s="833">
        <f>N166-N169</f>
        <v>18629100</v>
      </c>
      <c r="O168" s="828">
        <f t="shared" si="24"/>
        <v>25135895</v>
      </c>
      <c r="P168" s="828">
        <f t="shared" si="24"/>
        <v>37903000</v>
      </c>
    </row>
    <row r="169" spans="1:16" ht="13">
      <c r="A169" s="1097" t="s">
        <v>728</v>
      </c>
      <c r="B169" s="1098"/>
      <c r="C169" s="1098"/>
      <c r="D169" s="792" t="e">
        <f>#REF!+D58+D74+D83+#REF!+D86+D95+D100+#REF!+D116+D117+#REF!+D127+#REF!+D160</f>
        <v>#REF!</v>
      </c>
      <c r="E169" s="792" t="e">
        <f>#REF!+E58+E74+E83+#REF!+E86+E95+E100+#REF!+E116+E117+#REF!+E127+#REF!+E160</f>
        <v>#REF!</v>
      </c>
      <c r="F169" s="792" t="e">
        <f>#REF!+F58+F74+F83+#REF!+F86+F95+F100+#REF!+F116+F117+#REF!+F127+#REF!+F160</f>
        <v>#REF!</v>
      </c>
      <c r="G169" s="792" t="e">
        <f>#REF!+G58+G74+G83+#REF!+G86+G95+G100+#REF!+G116+G117+#REF!+G127+#REF!+G160</f>
        <v>#REF!</v>
      </c>
      <c r="H169" s="792" t="e">
        <f>#REF!+H58+H74+H83+#REF!+H86+H95+H100+#REF!+H116+H117+#REF!+H127+#REF!+H160</f>
        <v>#REF!</v>
      </c>
      <c r="I169" s="805" t="e">
        <f>#REF!+I58+I74+I83+#REF!+I86+I95+I100+#REF!+I116+I117+#REF!+I127+I160+I104+I105</f>
        <v>#REF!</v>
      </c>
      <c r="J169" s="810"/>
      <c r="K169" s="805" t="e">
        <f>#REF!+K58+K74+K83+#REF!+K86+K95+K100+#REF!+K116+K117+#REF!+K127+K160+K105+K72</f>
        <v>#REF!</v>
      </c>
      <c r="L169" s="805" t="e">
        <f>#REF!+L58+L74+#REF!+L83+L86+L95+L100+L116+L117+#REF!+L160+L127+L105+#REF!+L104</f>
        <v>#REF!</v>
      </c>
      <c r="M169" s="832" t="e">
        <f>#REF!+M58+M72+M74+#REF!+M83+#REF!+M85+M86+M94+M95+M100+M104+#REF!+M105+M116+M117+#REF!+M127+M160</f>
        <v>#REF!</v>
      </c>
      <c r="N169" s="834">
        <f>N58+N72+N74+N83+N85+N86+N94+N95+N100+N104+N105+N116+N117+N127+N160</f>
        <v>17060000</v>
      </c>
      <c r="O169" s="828">
        <f>O58+O72+O74+O83+O85+O86+O94+O95+O97+O100+O103+O104+O105+O116+O117+O127+O160+O161</f>
        <v>7615000</v>
      </c>
      <c r="P169" s="828">
        <f>P58+P72+P74+P83+P86+P94+P95+P97+P100+P103+P104+P105+P116+P117+P127+P160+P161</f>
        <v>61480000</v>
      </c>
    </row>
    <row r="170" spans="1:16" ht="13">
      <c r="A170" s="1095" t="s">
        <v>726</v>
      </c>
      <c r="B170" s="1096"/>
      <c r="C170" s="1096"/>
      <c r="D170" s="782">
        <f t="shared" ref="D170:I170" si="25">D166</f>
        <v>43881900</v>
      </c>
      <c r="E170" s="782">
        <f t="shared" si="25"/>
        <v>46585900</v>
      </c>
      <c r="F170" s="782">
        <f t="shared" si="25"/>
        <v>33123496.800000001</v>
      </c>
      <c r="G170" s="782" t="e">
        <f t="shared" si="25"/>
        <v>#REF!</v>
      </c>
      <c r="H170" s="782" t="e">
        <f t="shared" si="25"/>
        <v>#REF!</v>
      </c>
      <c r="I170" s="801" t="e">
        <f t="shared" si="25"/>
        <v>#REF!</v>
      </c>
      <c r="J170" s="819"/>
      <c r="K170" s="801">
        <f>K166</f>
        <v>14623430</v>
      </c>
      <c r="L170" s="801" t="e">
        <f>L166</f>
        <v>#REF!</v>
      </c>
      <c r="M170" s="830" t="e">
        <f>SUM(M168:M169)</f>
        <v>#REF!</v>
      </c>
      <c r="N170" s="835">
        <f>SUM(N168:N169)</f>
        <v>35689100</v>
      </c>
      <c r="O170" s="828">
        <f>SUM(O168:O169)</f>
        <v>32750895</v>
      </c>
      <c r="P170" s="828">
        <f>SUM(P168:P169)</f>
        <v>99383000</v>
      </c>
    </row>
    <row r="171" spans="1:16" ht="13">
      <c r="A171" s="952"/>
      <c r="B171" s="952"/>
      <c r="C171" s="788"/>
      <c r="D171" s="787"/>
      <c r="E171" s="787"/>
      <c r="F171" s="787"/>
      <c r="G171" s="953"/>
      <c r="H171" s="954"/>
      <c r="I171" s="954"/>
      <c r="J171" s="795"/>
      <c r="K171" s="954"/>
      <c r="L171" s="954"/>
      <c r="M171" s="826"/>
      <c r="N171" s="831"/>
    </row>
    <row r="172" spans="1:16" ht="13">
      <c r="A172" s="952"/>
      <c r="B172" s="952"/>
      <c r="C172" s="788"/>
      <c r="D172" s="787"/>
      <c r="E172" s="787"/>
      <c r="F172" s="787"/>
      <c r="G172" s="953"/>
      <c r="H172" s="954"/>
      <c r="I172" s="954"/>
      <c r="J172" s="795"/>
      <c r="K172" s="954"/>
      <c r="L172" s="954"/>
      <c r="M172" s="826"/>
      <c r="N172" s="826"/>
    </row>
    <row r="173" spans="1:16" ht="13">
      <c r="A173" s="1093" t="s">
        <v>729</v>
      </c>
      <c r="B173" s="1094"/>
      <c r="C173" s="1094"/>
      <c r="D173" s="798"/>
      <c r="E173" s="798"/>
      <c r="F173" s="798"/>
      <c r="G173" s="798"/>
      <c r="H173" s="798"/>
      <c r="I173" s="806"/>
      <c r="J173" s="817"/>
      <c r="K173" s="806"/>
      <c r="L173" s="806"/>
      <c r="M173" s="880"/>
      <c r="N173" s="880"/>
      <c r="O173" s="880"/>
      <c r="P173" s="881"/>
    </row>
    <row r="174" spans="1:16" ht="13">
      <c r="A174" s="773">
        <v>8124</v>
      </c>
      <c r="B174" s="772">
        <v>8124</v>
      </c>
      <c r="C174" s="785" t="s">
        <v>730</v>
      </c>
      <c r="D174" s="784">
        <f>2800000-800000</f>
        <v>2000000</v>
      </c>
      <c r="E174" s="784">
        <v>2000000</v>
      </c>
      <c r="F174" s="784">
        <v>1361446</v>
      </c>
      <c r="G174" s="784">
        <f>4*125000</f>
        <v>500000</v>
      </c>
      <c r="H174" s="784">
        <f>G174+F174</f>
        <v>1861446</v>
      </c>
      <c r="I174" s="802">
        <f>12*125000</f>
        <v>1500000</v>
      </c>
      <c r="J174" s="810"/>
      <c r="K174" s="802">
        <f>12*125000</f>
        <v>1500000</v>
      </c>
      <c r="L174" s="802">
        <f>12*125000</f>
        <v>1500000</v>
      </c>
      <c r="M174" s="825">
        <v>1500000</v>
      </c>
      <c r="N174" s="825">
        <v>1500000</v>
      </c>
      <c r="O174" s="825">
        <v>1500000</v>
      </c>
      <c r="P174" s="863">
        <v>1500000</v>
      </c>
    </row>
    <row r="175" spans="1:16" ht="13">
      <c r="A175" s="1095" t="s">
        <v>731</v>
      </c>
      <c r="B175" s="1096"/>
      <c r="C175" s="1096"/>
      <c r="D175" s="782" t="e">
        <f>#REF!-D173+D174</f>
        <v>#REF!</v>
      </c>
      <c r="E175" s="782" t="e">
        <f>#REF!-E173+E174</f>
        <v>#REF!</v>
      </c>
      <c r="F175" s="782" t="e">
        <f>#REF!-F173+F174</f>
        <v>#REF!</v>
      </c>
      <c r="G175" s="782" t="e">
        <f>#REF!-G173+G174</f>
        <v>#REF!</v>
      </c>
      <c r="H175" s="782" t="e">
        <f>#REF!-H173+H174</f>
        <v>#REF!</v>
      </c>
      <c r="I175" s="801" t="e">
        <f>#REF!-I173+I174</f>
        <v>#REF!</v>
      </c>
      <c r="J175" s="819"/>
      <c r="K175" s="801" t="e">
        <f>#REF!-K173+K174</f>
        <v>#REF!</v>
      </c>
      <c r="L175" s="801" t="e">
        <f>#REF!-L173+L174</f>
        <v>#REF!</v>
      </c>
      <c r="M175" s="865">
        <f>M166+M174</f>
        <v>21201107</v>
      </c>
      <c r="N175" s="865">
        <f>N166+N174</f>
        <v>37189100</v>
      </c>
      <c r="O175" s="858">
        <f>O170+O174</f>
        <v>34250895</v>
      </c>
      <c r="P175" s="859">
        <f>P170+P174</f>
        <v>100883000</v>
      </c>
    </row>
  </sheetData>
  <mergeCells count="11">
    <mergeCell ref="A23:C23"/>
    <mergeCell ref="A41:C41"/>
    <mergeCell ref="A42:C42"/>
    <mergeCell ref="A43:C43"/>
    <mergeCell ref="A47:C47"/>
    <mergeCell ref="A173:C173"/>
    <mergeCell ref="A175:C175"/>
    <mergeCell ref="A166:C166"/>
    <mergeCell ref="A168:C168"/>
    <mergeCell ref="A169:C169"/>
    <mergeCell ref="A170:C170"/>
  </mergeCells>
  <pageMargins left="0.7" right="0.7" top="0.78740157499999996" bottom="0.78740157499999996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9620A-7001-4F5C-9BA2-46E411BB7B55}">
  <dimension ref="A1:S175"/>
  <sheetViews>
    <sheetView topLeftCell="A154" workbookViewId="0">
      <selection sqref="A1:P175"/>
    </sheetView>
  </sheetViews>
  <sheetFormatPr baseColWidth="10" defaultColWidth="8.83203125" defaultRowHeight="13"/>
  <cols>
    <col min="3" max="3" width="30.5" customWidth="1"/>
    <col min="4" max="10" width="0" hidden="1" customWidth="1"/>
    <col min="11" max="11" width="3.5" hidden="1" customWidth="1"/>
    <col min="12" max="12" width="0" hidden="1" customWidth="1"/>
    <col min="13" max="13" width="11.5" hidden="1" customWidth="1"/>
    <col min="14" max="14" width="12.1640625" customWidth="1"/>
    <col min="15" max="15" width="12.6640625" style="826" customWidth="1"/>
    <col min="16" max="16" width="14.33203125" style="826" customWidth="1"/>
    <col min="19" max="19" width="10.6640625" bestFit="1" customWidth="1"/>
  </cols>
  <sheetData>
    <row r="1" spans="1:16" ht="17" thickBot="1">
      <c r="A1" s="808" t="s">
        <v>531</v>
      </c>
      <c r="B1" s="770"/>
      <c r="C1" s="780"/>
      <c r="D1" s="780"/>
      <c r="E1" s="780"/>
      <c r="F1" s="780"/>
      <c r="G1" s="780"/>
      <c r="H1" s="780"/>
      <c r="I1" s="780"/>
      <c r="J1" s="781"/>
      <c r="K1" s="780"/>
      <c r="L1" s="780"/>
    </row>
    <row r="2" spans="1:16" ht="37" thickBot="1">
      <c r="A2" s="796" t="s">
        <v>532</v>
      </c>
      <c r="B2" s="775" t="s">
        <v>376</v>
      </c>
      <c r="C2" s="774" t="s">
        <v>533</v>
      </c>
      <c r="D2" s="776" t="s">
        <v>534</v>
      </c>
      <c r="E2" s="776" t="s">
        <v>535</v>
      </c>
      <c r="F2" s="776" t="s">
        <v>536</v>
      </c>
      <c r="G2" s="776" t="s">
        <v>537</v>
      </c>
      <c r="H2" s="776" t="s">
        <v>538</v>
      </c>
      <c r="I2" s="800" t="s">
        <v>539</v>
      </c>
      <c r="J2" s="816" t="s">
        <v>540</v>
      </c>
      <c r="K2" s="800" t="s">
        <v>541</v>
      </c>
      <c r="L2" s="800">
        <v>2022</v>
      </c>
      <c r="M2" s="861" t="s">
        <v>542</v>
      </c>
      <c r="N2" s="861" t="s">
        <v>543</v>
      </c>
      <c r="O2" s="886" t="s">
        <v>544</v>
      </c>
      <c r="P2" s="862" t="s">
        <v>545</v>
      </c>
    </row>
    <row r="3" spans="1:16">
      <c r="A3" s="942"/>
      <c r="B3" s="943">
        <v>1111</v>
      </c>
      <c r="C3" s="790" t="s">
        <v>546</v>
      </c>
      <c r="D3" s="944">
        <v>4000000</v>
      </c>
      <c r="E3" s="944">
        <v>4000000</v>
      </c>
      <c r="F3" s="944">
        <v>2830187.77</v>
      </c>
      <c r="G3" s="944">
        <f>E3-F3+1184607</f>
        <v>2354419.23</v>
      </c>
      <c r="H3" s="944">
        <f>G3+F3</f>
        <v>5184607</v>
      </c>
      <c r="I3" s="945">
        <f>H3-2348647</f>
        <v>2835960</v>
      </c>
      <c r="J3" s="803"/>
      <c r="K3" s="945">
        <v>2776178</v>
      </c>
      <c r="L3" s="945">
        <v>2850000</v>
      </c>
      <c r="M3" s="825">
        <v>3400000</v>
      </c>
      <c r="N3" s="825">
        <v>3500000</v>
      </c>
      <c r="O3" s="825">
        <v>4443000</v>
      </c>
      <c r="P3" s="863">
        <v>5000000</v>
      </c>
    </row>
    <row r="4" spans="1:16">
      <c r="A4" s="773"/>
      <c r="B4" s="772">
        <v>1112</v>
      </c>
      <c r="C4" s="785" t="s">
        <v>548</v>
      </c>
      <c r="D4" s="784">
        <v>100000</v>
      </c>
      <c r="E4" s="784">
        <v>100000</v>
      </c>
      <c r="F4" s="784">
        <v>33015.269999999997</v>
      </c>
      <c r="G4" s="784">
        <v>44769</v>
      </c>
      <c r="H4" s="784">
        <f t="shared" ref="H4:H22" si="0">G4+F4</f>
        <v>77784.26999999999</v>
      </c>
      <c r="I4" s="802">
        <f t="shared" ref="I4:I20" si="1">H4</f>
        <v>77784.26999999999</v>
      </c>
      <c r="J4" s="803"/>
      <c r="K4" s="802">
        <v>141012</v>
      </c>
      <c r="L4" s="802">
        <v>150000</v>
      </c>
      <c r="M4" s="825">
        <v>300000</v>
      </c>
      <c r="N4" s="825">
        <v>400000</v>
      </c>
      <c r="O4" s="825">
        <v>330000</v>
      </c>
      <c r="P4" s="863">
        <v>350000</v>
      </c>
    </row>
    <row r="5" spans="1:16">
      <c r="A5" s="773"/>
      <c r="B5" s="772">
        <v>1113</v>
      </c>
      <c r="C5" s="785" t="s">
        <v>550</v>
      </c>
      <c r="D5" s="784">
        <v>390000</v>
      </c>
      <c r="E5" s="784">
        <v>390000</v>
      </c>
      <c r="F5" s="784">
        <v>262113.18</v>
      </c>
      <c r="G5" s="784">
        <f>E5-F5+96150</f>
        <v>224036.82</v>
      </c>
      <c r="H5" s="784">
        <f t="shared" si="0"/>
        <v>486150</v>
      </c>
      <c r="I5" s="802">
        <f t="shared" si="1"/>
        <v>486150</v>
      </c>
      <c r="J5" s="803"/>
      <c r="K5" s="802">
        <v>502179</v>
      </c>
      <c r="L5" s="802">
        <v>530000</v>
      </c>
      <c r="M5" s="825">
        <v>750000</v>
      </c>
      <c r="N5" s="825">
        <v>800000</v>
      </c>
      <c r="O5" s="825">
        <v>1100000</v>
      </c>
      <c r="P5" s="863">
        <v>1100000</v>
      </c>
    </row>
    <row r="6" spans="1:16">
      <c r="A6" s="773"/>
      <c r="B6" s="772">
        <v>1121</v>
      </c>
      <c r="C6" s="785" t="s">
        <v>552</v>
      </c>
      <c r="D6" s="784">
        <v>3600000</v>
      </c>
      <c r="E6" s="784">
        <v>3600000</v>
      </c>
      <c r="F6" s="784">
        <v>1915530.56</v>
      </c>
      <c r="G6" s="784">
        <f>E6-F6-600000+33576</f>
        <v>1118045.44</v>
      </c>
      <c r="H6" s="784">
        <f t="shared" si="0"/>
        <v>3033576</v>
      </c>
      <c r="I6" s="802">
        <f t="shared" si="1"/>
        <v>3033576</v>
      </c>
      <c r="J6" s="803"/>
      <c r="K6" s="802">
        <v>4519174</v>
      </c>
      <c r="L6" s="802">
        <v>4600000</v>
      </c>
      <c r="M6" s="825">
        <v>5800000</v>
      </c>
      <c r="N6" s="825">
        <v>5800000</v>
      </c>
      <c r="O6" s="825">
        <v>7600000</v>
      </c>
      <c r="P6" s="863">
        <v>8000000</v>
      </c>
    </row>
    <row r="7" spans="1:16">
      <c r="A7" s="773"/>
      <c r="B7" s="772">
        <v>1122</v>
      </c>
      <c r="C7" s="785" t="s">
        <v>553</v>
      </c>
      <c r="D7" s="784"/>
      <c r="E7" s="784"/>
      <c r="F7" s="784"/>
      <c r="G7" s="784"/>
      <c r="H7" s="784"/>
      <c r="I7" s="802"/>
      <c r="J7" s="803"/>
      <c r="K7" s="802"/>
      <c r="L7" s="802">
        <v>200000</v>
      </c>
      <c r="M7" s="825">
        <v>620007</v>
      </c>
      <c r="N7" s="825">
        <v>600000</v>
      </c>
      <c r="O7" s="825">
        <v>87000</v>
      </c>
      <c r="P7" s="863">
        <v>100000</v>
      </c>
    </row>
    <row r="8" spans="1:16">
      <c r="A8" s="773"/>
      <c r="B8" s="772">
        <v>1211</v>
      </c>
      <c r="C8" s="785" t="s">
        <v>554</v>
      </c>
      <c r="D8" s="784">
        <v>7700000</v>
      </c>
      <c r="E8" s="784">
        <v>7700000</v>
      </c>
      <c r="F8" s="784">
        <v>6046376.75</v>
      </c>
      <c r="G8" s="784">
        <f>E8-F8+2400000+60535</f>
        <v>4114158.25</v>
      </c>
      <c r="H8" s="784">
        <f t="shared" si="0"/>
        <v>10160535</v>
      </c>
      <c r="I8" s="802">
        <f t="shared" si="1"/>
        <v>10160535</v>
      </c>
      <c r="J8" s="803"/>
      <c r="K8" s="802">
        <v>8931306</v>
      </c>
      <c r="L8" s="802">
        <v>9500000</v>
      </c>
      <c r="M8" s="825">
        <v>13000000</v>
      </c>
      <c r="N8" s="825">
        <v>13500000</v>
      </c>
      <c r="O8" s="825">
        <v>15700000</v>
      </c>
      <c r="P8" s="863">
        <v>16500000</v>
      </c>
    </row>
    <row r="9" spans="1:16">
      <c r="A9" s="773"/>
      <c r="B9" s="772">
        <v>1334</v>
      </c>
      <c r="C9" s="785" t="s">
        <v>555</v>
      </c>
      <c r="D9" s="784"/>
      <c r="E9" s="784">
        <v>4000</v>
      </c>
      <c r="F9" s="784">
        <v>3689.68</v>
      </c>
      <c r="G9" s="784">
        <f t="shared" ref="G9:G20" si="2">E9-F9</f>
        <v>310.32000000000016</v>
      </c>
      <c r="H9" s="784">
        <f t="shared" si="0"/>
        <v>4000</v>
      </c>
      <c r="I9" s="802">
        <f t="shared" si="1"/>
        <v>4000</v>
      </c>
      <c r="J9" s="803"/>
      <c r="K9" s="802">
        <v>2013</v>
      </c>
      <c r="L9" s="802">
        <v>4000</v>
      </c>
      <c r="M9" s="825">
        <v>29000</v>
      </c>
      <c r="N9" s="825">
        <v>20000</v>
      </c>
      <c r="O9" s="825">
        <v>2000</v>
      </c>
      <c r="P9" s="863">
        <v>2000</v>
      </c>
    </row>
    <row r="10" spans="1:16">
      <c r="A10" s="773"/>
      <c r="B10" s="772">
        <v>1341</v>
      </c>
      <c r="C10" s="785" t="s">
        <v>556</v>
      </c>
      <c r="D10" s="784">
        <v>78000</v>
      </c>
      <c r="E10" s="784">
        <v>78000</v>
      </c>
      <c r="F10" s="784">
        <v>72700</v>
      </c>
      <c r="G10" s="784">
        <f t="shared" si="2"/>
        <v>5300</v>
      </c>
      <c r="H10" s="784">
        <f t="shared" si="0"/>
        <v>78000</v>
      </c>
      <c r="I10" s="802">
        <f t="shared" si="1"/>
        <v>78000</v>
      </c>
      <c r="J10" s="803">
        <v>4000</v>
      </c>
      <c r="K10" s="802">
        <v>85050</v>
      </c>
      <c r="L10" s="802">
        <v>86000</v>
      </c>
      <c r="M10" s="825">
        <v>91000</v>
      </c>
      <c r="N10" s="825">
        <v>91000</v>
      </c>
      <c r="O10" s="825">
        <v>85000</v>
      </c>
      <c r="P10" s="863">
        <v>85000</v>
      </c>
    </row>
    <row r="11" spans="1:16">
      <c r="A11" s="773"/>
      <c r="B11" s="772">
        <v>1342</v>
      </c>
      <c r="C11" s="785" t="s">
        <v>557</v>
      </c>
      <c r="D11" s="784">
        <v>2000</v>
      </c>
      <c r="E11" s="784">
        <v>3500</v>
      </c>
      <c r="F11" s="784">
        <v>3500</v>
      </c>
      <c r="G11" s="784">
        <f t="shared" si="2"/>
        <v>0</v>
      </c>
      <c r="H11" s="784">
        <f t="shared" si="0"/>
        <v>3500</v>
      </c>
      <c r="I11" s="802">
        <f t="shared" si="1"/>
        <v>3500</v>
      </c>
      <c r="J11" s="803">
        <v>3500</v>
      </c>
      <c r="K11" s="802">
        <v>7000</v>
      </c>
      <c r="L11" s="802">
        <v>7000</v>
      </c>
      <c r="M11" s="825">
        <v>0</v>
      </c>
      <c r="N11" s="825">
        <v>5000</v>
      </c>
      <c r="O11" s="825">
        <v>0</v>
      </c>
      <c r="P11" s="863">
        <v>5000</v>
      </c>
    </row>
    <row r="12" spans="1:16">
      <c r="A12" s="773"/>
      <c r="B12" s="772">
        <v>1343</v>
      </c>
      <c r="C12" s="785" t="s">
        <v>558</v>
      </c>
      <c r="D12" s="784">
        <v>40000</v>
      </c>
      <c r="E12" s="784">
        <v>40000</v>
      </c>
      <c r="F12" s="784">
        <v>18730</v>
      </c>
      <c r="G12" s="946">
        <f t="shared" si="2"/>
        <v>21270</v>
      </c>
      <c r="H12" s="784">
        <f t="shared" si="0"/>
        <v>40000</v>
      </c>
      <c r="I12" s="802">
        <f t="shared" si="1"/>
        <v>40000</v>
      </c>
      <c r="J12" s="803"/>
      <c r="K12" s="802">
        <v>37853</v>
      </c>
      <c r="L12" s="802">
        <v>40000</v>
      </c>
      <c r="M12" s="825">
        <v>45000</v>
      </c>
      <c r="N12" s="825">
        <v>45000</v>
      </c>
      <c r="O12" s="825">
        <v>35000</v>
      </c>
      <c r="P12" s="863">
        <v>30000</v>
      </c>
    </row>
    <row r="13" spans="1:16">
      <c r="A13" s="773"/>
      <c r="B13" s="772">
        <v>1345</v>
      </c>
      <c r="C13" s="785" t="s">
        <v>559</v>
      </c>
      <c r="D13" s="784"/>
      <c r="E13" s="784"/>
      <c r="F13" s="784"/>
      <c r="G13" s="946"/>
      <c r="H13" s="784"/>
      <c r="I13" s="802"/>
      <c r="J13" s="803"/>
      <c r="K13" s="802"/>
      <c r="L13" s="802"/>
      <c r="M13" s="825">
        <v>2170000</v>
      </c>
      <c r="N13" s="825">
        <v>2480000</v>
      </c>
      <c r="O13" s="825">
        <v>2600000</v>
      </c>
      <c r="P13" s="863">
        <v>2800000</v>
      </c>
    </row>
    <row r="14" spans="1:16">
      <c r="A14" s="773"/>
      <c r="B14" s="772">
        <v>1361</v>
      </c>
      <c r="C14" s="785" t="s">
        <v>560</v>
      </c>
      <c r="D14" s="784">
        <v>13000</v>
      </c>
      <c r="E14" s="784">
        <v>13000</v>
      </c>
      <c r="F14" s="784">
        <v>7797</v>
      </c>
      <c r="G14" s="784">
        <f t="shared" si="2"/>
        <v>5203</v>
      </c>
      <c r="H14" s="784">
        <f t="shared" si="0"/>
        <v>13000</v>
      </c>
      <c r="I14" s="802">
        <f t="shared" si="1"/>
        <v>13000</v>
      </c>
      <c r="J14" s="803"/>
      <c r="K14" s="802">
        <v>12340</v>
      </c>
      <c r="L14" s="802">
        <v>13000</v>
      </c>
      <c r="M14" s="825">
        <v>10000</v>
      </c>
      <c r="N14" s="825">
        <v>10000</v>
      </c>
      <c r="O14" s="825">
        <v>10000</v>
      </c>
      <c r="P14" s="863">
        <v>10000</v>
      </c>
    </row>
    <row r="15" spans="1:16">
      <c r="A15" s="773"/>
      <c r="B15" s="772">
        <v>1381</v>
      </c>
      <c r="C15" s="785" t="s">
        <v>561</v>
      </c>
      <c r="D15" s="784">
        <v>60000</v>
      </c>
      <c r="E15" s="784">
        <v>70000</v>
      </c>
      <c r="F15" s="784">
        <v>91684.6</v>
      </c>
      <c r="G15" s="946">
        <f>100000-F15</f>
        <v>8315.3999999999942</v>
      </c>
      <c r="H15" s="784">
        <f>G15+F15</f>
        <v>100000</v>
      </c>
      <c r="I15" s="802">
        <f t="shared" si="1"/>
        <v>100000</v>
      </c>
      <c r="J15" s="803"/>
      <c r="K15" s="802">
        <v>140881</v>
      </c>
      <c r="L15" s="802">
        <v>150000</v>
      </c>
      <c r="M15" s="825">
        <v>170000</v>
      </c>
      <c r="N15" s="825">
        <v>180000</v>
      </c>
      <c r="O15" s="825">
        <v>185000</v>
      </c>
      <c r="P15" s="863">
        <v>185000</v>
      </c>
    </row>
    <row r="16" spans="1:16">
      <c r="A16" s="773"/>
      <c r="B16" s="772">
        <v>1511</v>
      </c>
      <c r="C16" s="785" t="s">
        <v>562</v>
      </c>
      <c r="D16" s="784">
        <v>600000</v>
      </c>
      <c r="E16" s="784">
        <v>600000</v>
      </c>
      <c r="F16" s="784">
        <v>519740.61</v>
      </c>
      <c r="G16" s="784">
        <f t="shared" si="2"/>
        <v>80259.390000000014</v>
      </c>
      <c r="H16" s="784">
        <f t="shared" si="0"/>
        <v>600000</v>
      </c>
      <c r="I16" s="802">
        <f t="shared" si="1"/>
        <v>600000</v>
      </c>
      <c r="J16" s="803"/>
      <c r="K16" s="802">
        <v>532696</v>
      </c>
      <c r="L16" s="802">
        <v>600000</v>
      </c>
      <c r="M16" s="825">
        <v>550000</v>
      </c>
      <c r="N16" s="825">
        <v>550000</v>
      </c>
      <c r="O16" s="825">
        <v>550000</v>
      </c>
      <c r="P16" s="863">
        <v>550000</v>
      </c>
    </row>
    <row r="17" spans="1:16" ht="14" thickBot="1">
      <c r="A17" s="777" t="s">
        <v>563</v>
      </c>
      <c r="B17" s="778"/>
      <c r="C17" s="779"/>
      <c r="D17" s="782">
        <f t="shared" ref="D17:I17" si="3">SUM(D3:D16)</f>
        <v>16583000</v>
      </c>
      <c r="E17" s="782">
        <f t="shared" si="3"/>
        <v>16598500</v>
      </c>
      <c r="F17" s="782">
        <f t="shared" si="3"/>
        <v>11805065.42</v>
      </c>
      <c r="G17" s="782">
        <f t="shared" si="3"/>
        <v>7976086.8500000006</v>
      </c>
      <c r="H17" s="782">
        <f t="shared" si="3"/>
        <v>19781152.27</v>
      </c>
      <c r="I17" s="801">
        <f t="shared" si="3"/>
        <v>17432505.27</v>
      </c>
      <c r="J17" s="864"/>
      <c r="K17" s="801">
        <f t="shared" ref="K17:P17" si="4">SUM(K3:K16)</f>
        <v>17687682</v>
      </c>
      <c r="L17" s="801">
        <f t="shared" si="4"/>
        <v>18730000</v>
      </c>
      <c r="M17" s="865">
        <f t="shared" si="4"/>
        <v>26935007</v>
      </c>
      <c r="N17" s="865">
        <f t="shared" si="4"/>
        <v>27981000</v>
      </c>
      <c r="O17" s="865">
        <f t="shared" si="4"/>
        <v>32727000</v>
      </c>
      <c r="P17" s="889">
        <f t="shared" si="4"/>
        <v>34717000</v>
      </c>
    </row>
    <row r="18" spans="1:16">
      <c r="A18" s="942"/>
      <c r="B18" s="943">
        <v>4111</v>
      </c>
      <c r="C18" s="790" t="s">
        <v>564</v>
      </c>
      <c r="D18" s="944"/>
      <c r="E18" s="944">
        <v>2179750</v>
      </c>
      <c r="F18" s="944">
        <v>2148750</v>
      </c>
      <c r="G18" s="944">
        <f t="shared" si="2"/>
        <v>31000</v>
      </c>
      <c r="H18" s="944">
        <f t="shared" si="0"/>
        <v>2179750</v>
      </c>
      <c r="I18" s="945"/>
      <c r="J18" s="866"/>
      <c r="K18" s="945"/>
      <c r="L18" s="945"/>
      <c r="M18" s="855">
        <v>32000</v>
      </c>
      <c r="N18" s="855"/>
      <c r="O18" s="855"/>
      <c r="P18" s="856"/>
    </row>
    <row r="19" spans="1:16">
      <c r="A19" s="947"/>
      <c r="B19" s="948">
        <v>4111</v>
      </c>
      <c r="C19" s="807" t="s">
        <v>565</v>
      </c>
      <c r="D19" s="902"/>
      <c r="E19" s="902"/>
      <c r="F19" s="902"/>
      <c r="G19" s="902"/>
      <c r="H19" s="902"/>
      <c r="I19" s="903"/>
      <c r="J19" s="813">
        <v>56543.59</v>
      </c>
      <c r="K19" s="903">
        <v>310545</v>
      </c>
      <c r="L19" s="903"/>
      <c r="M19" s="825">
        <v>95000</v>
      </c>
      <c r="N19" s="825"/>
      <c r="O19" s="825"/>
      <c r="P19" s="863"/>
    </row>
    <row r="20" spans="1:16">
      <c r="A20" s="773"/>
      <c r="B20" s="772">
        <v>4112</v>
      </c>
      <c r="C20" s="785" t="s">
        <v>566</v>
      </c>
      <c r="D20" s="784">
        <v>342200</v>
      </c>
      <c r="E20" s="784">
        <v>368000</v>
      </c>
      <c r="F20" s="784">
        <v>245336</v>
      </c>
      <c r="G20" s="784">
        <f t="shared" si="2"/>
        <v>122664</v>
      </c>
      <c r="H20" s="784">
        <f t="shared" si="0"/>
        <v>368000</v>
      </c>
      <c r="I20" s="802">
        <f t="shared" si="1"/>
        <v>368000</v>
      </c>
      <c r="J20" s="809">
        <v>27000</v>
      </c>
      <c r="K20" s="802">
        <v>296253</v>
      </c>
      <c r="L20" s="802">
        <v>368000</v>
      </c>
      <c r="M20" s="825">
        <v>368000</v>
      </c>
      <c r="N20" s="825">
        <v>368000</v>
      </c>
      <c r="O20" s="825">
        <v>368000</v>
      </c>
      <c r="P20" s="863">
        <v>368000</v>
      </c>
    </row>
    <row r="21" spans="1:16">
      <c r="A21" s="773"/>
      <c r="B21" s="772">
        <v>4222</v>
      </c>
      <c r="C21" s="949" t="s">
        <v>567</v>
      </c>
      <c r="D21" s="784"/>
      <c r="E21" s="784"/>
      <c r="F21" s="784"/>
      <c r="G21" s="950"/>
      <c r="H21" s="950"/>
      <c r="I21" s="820">
        <v>10000000</v>
      </c>
      <c r="J21" s="803"/>
      <c r="K21" s="802"/>
      <c r="L21" s="802"/>
      <c r="M21" s="825"/>
      <c r="N21" s="825"/>
      <c r="O21" s="825"/>
      <c r="P21" s="863"/>
    </row>
    <row r="22" spans="1:16">
      <c r="A22" s="773"/>
      <c r="B22" s="772">
        <v>4139</v>
      </c>
      <c r="C22" s="785" t="s">
        <v>568</v>
      </c>
      <c r="D22" s="784"/>
      <c r="E22" s="784"/>
      <c r="F22" s="784">
        <v>1000</v>
      </c>
      <c r="G22" s="946">
        <v>0</v>
      </c>
      <c r="H22" s="946">
        <f t="shared" si="0"/>
        <v>1000</v>
      </c>
      <c r="I22" s="802"/>
      <c r="J22" s="803"/>
      <c r="K22" s="802"/>
      <c r="L22" s="802"/>
      <c r="M22" s="825"/>
      <c r="N22" s="825"/>
      <c r="O22" s="825"/>
      <c r="P22" s="863"/>
    </row>
    <row r="23" spans="1:16">
      <c r="A23" s="1099" t="s">
        <v>569</v>
      </c>
      <c r="B23" s="1100"/>
      <c r="C23" s="1101"/>
      <c r="D23" s="849">
        <f t="shared" ref="D23:I23" si="5">SUM(D18:D22)</f>
        <v>342200</v>
      </c>
      <c r="E23" s="849">
        <f t="shared" si="5"/>
        <v>2547750</v>
      </c>
      <c r="F23" s="849">
        <f t="shared" si="5"/>
        <v>2395086</v>
      </c>
      <c r="G23" s="849">
        <f t="shared" si="5"/>
        <v>153664</v>
      </c>
      <c r="H23" s="849">
        <f t="shared" si="5"/>
        <v>2548750</v>
      </c>
      <c r="I23" s="850">
        <f t="shared" si="5"/>
        <v>10368000</v>
      </c>
      <c r="J23" s="882"/>
      <c r="K23" s="850">
        <f>SUM(K19:K22)</f>
        <v>606798</v>
      </c>
      <c r="L23" s="850">
        <f>SUM(L19:L22)</f>
        <v>368000</v>
      </c>
      <c r="M23" s="852">
        <f>SUM(M18:M22)</f>
        <v>495000</v>
      </c>
      <c r="N23" s="852">
        <f>SUM(N18:N22)</f>
        <v>368000</v>
      </c>
      <c r="O23" s="852">
        <f>SUM(O18:O22)</f>
        <v>368000</v>
      </c>
      <c r="P23" s="888">
        <f>SUM(P18:P22)</f>
        <v>368000</v>
      </c>
    </row>
    <row r="24" spans="1:16">
      <c r="A24" s="772">
        <v>1036</v>
      </c>
      <c r="B24" s="772">
        <v>2111</v>
      </c>
      <c r="C24" s="885" t="s">
        <v>570</v>
      </c>
      <c r="D24" s="783"/>
      <c r="E24" s="783"/>
      <c r="F24" s="783"/>
      <c r="G24" s="783"/>
      <c r="H24" s="783"/>
      <c r="I24" s="783"/>
      <c r="J24" s="803"/>
      <c r="K24" s="783"/>
      <c r="L24" s="783"/>
      <c r="M24" s="884"/>
      <c r="N24" s="884"/>
      <c r="O24" s="825">
        <v>60000</v>
      </c>
      <c r="P24" s="825"/>
    </row>
    <row r="25" spans="1:16">
      <c r="A25" s="947">
        <v>2310</v>
      </c>
      <c r="B25" s="948">
        <v>2132</v>
      </c>
      <c r="C25" s="807" t="s">
        <v>571</v>
      </c>
      <c r="D25" s="902">
        <v>40000</v>
      </c>
      <c r="E25" s="902">
        <v>40000</v>
      </c>
      <c r="F25" s="902"/>
      <c r="G25" s="902">
        <f>E25-F25</f>
        <v>40000</v>
      </c>
      <c r="H25" s="902">
        <f t="shared" ref="H25:H40" si="6">G25+F25</f>
        <v>40000</v>
      </c>
      <c r="I25" s="903">
        <f>H25</f>
        <v>40000</v>
      </c>
      <c r="J25" s="860"/>
      <c r="K25" s="903"/>
      <c r="L25" s="903">
        <v>40000</v>
      </c>
      <c r="M25" s="853">
        <v>40000</v>
      </c>
      <c r="N25" s="853">
        <v>40000</v>
      </c>
      <c r="O25" s="853">
        <v>260000</v>
      </c>
      <c r="P25" s="883">
        <v>250000</v>
      </c>
    </row>
    <row r="26" spans="1:16">
      <c r="A26" s="773">
        <v>2329</v>
      </c>
      <c r="B26" s="772">
        <v>2111</v>
      </c>
      <c r="C26" s="785" t="s">
        <v>572</v>
      </c>
      <c r="D26" s="784">
        <v>4300000</v>
      </c>
      <c r="E26" s="784">
        <v>4300000</v>
      </c>
      <c r="F26" s="784">
        <v>3712414.18</v>
      </c>
      <c r="G26" s="784">
        <f>E26-F26</f>
        <v>587585.81999999983</v>
      </c>
      <c r="H26" s="784">
        <f t="shared" si="6"/>
        <v>4300000</v>
      </c>
      <c r="I26" s="802">
        <f>H26</f>
        <v>4300000</v>
      </c>
      <c r="J26" s="803"/>
      <c r="K26" s="802">
        <v>2205174</v>
      </c>
      <c r="L26" s="802">
        <v>4300000</v>
      </c>
      <c r="M26" s="825">
        <v>4400000</v>
      </c>
      <c r="N26" s="825">
        <v>4400000</v>
      </c>
      <c r="O26" s="825">
        <v>4400000</v>
      </c>
      <c r="P26" s="863">
        <v>5000000</v>
      </c>
    </row>
    <row r="27" spans="1:16">
      <c r="A27" s="773">
        <v>3111</v>
      </c>
      <c r="B27" s="772">
        <v>2111</v>
      </c>
      <c r="C27" s="785" t="s">
        <v>573</v>
      </c>
      <c r="D27" s="784"/>
      <c r="E27" s="784"/>
      <c r="F27" s="784"/>
      <c r="G27" s="784"/>
      <c r="H27" s="784"/>
      <c r="I27" s="802"/>
      <c r="J27" s="803"/>
      <c r="K27" s="802">
        <v>11437</v>
      </c>
      <c r="L27" s="802">
        <v>30000</v>
      </c>
      <c r="M27" s="825">
        <v>40000</v>
      </c>
      <c r="N27" s="825">
        <v>40000</v>
      </c>
      <c r="O27" s="825">
        <v>40000</v>
      </c>
      <c r="P27" s="863">
        <v>40000</v>
      </c>
    </row>
    <row r="28" spans="1:16">
      <c r="A28" s="773">
        <v>3613</v>
      </c>
      <c r="B28" s="772">
        <v>2132</v>
      </c>
      <c r="C28" s="785" t="s">
        <v>574</v>
      </c>
      <c r="D28" s="784">
        <v>10000</v>
      </c>
      <c r="E28" s="784">
        <v>10000</v>
      </c>
      <c r="F28" s="784">
        <v>2000</v>
      </c>
      <c r="G28" s="784">
        <f>E28-F28</f>
        <v>8000</v>
      </c>
      <c r="H28" s="784">
        <f>G28+F28</f>
        <v>10000</v>
      </c>
      <c r="I28" s="802">
        <f t="shared" ref="I28:I40" si="7">H28</f>
        <v>10000</v>
      </c>
      <c r="J28" s="803"/>
      <c r="K28" s="802">
        <v>10000</v>
      </c>
      <c r="L28" s="802">
        <v>10000</v>
      </c>
      <c r="M28" s="825">
        <v>20000</v>
      </c>
      <c r="N28" s="825">
        <v>20000</v>
      </c>
      <c r="O28" s="825">
        <v>21000</v>
      </c>
      <c r="P28" s="863">
        <v>20000</v>
      </c>
    </row>
    <row r="29" spans="1:16">
      <c r="A29" s="773">
        <v>3631</v>
      </c>
      <c r="B29" s="772">
        <v>2111</v>
      </c>
      <c r="C29" s="785" t="s">
        <v>575</v>
      </c>
      <c r="D29" s="784"/>
      <c r="E29" s="784">
        <v>20000</v>
      </c>
      <c r="F29" s="784">
        <v>34000</v>
      </c>
      <c r="G29" s="784">
        <v>0</v>
      </c>
      <c r="H29" s="784">
        <f>G29+F29</f>
        <v>34000</v>
      </c>
      <c r="I29" s="802">
        <f t="shared" si="7"/>
        <v>34000</v>
      </c>
      <c r="J29" s="803">
        <v>155000</v>
      </c>
      <c r="K29" s="802">
        <v>198000</v>
      </c>
      <c r="L29" s="802"/>
      <c r="M29" s="825">
        <v>10000</v>
      </c>
      <c r="N29" s="825"/>
      <c r="O29" s="825"/>
      <c r="P29" s="863"/>
    </row>
    <row r="30" spans="1:16">
      <c r="A30" s="773">
        <v>3639</v>
      </c>
      <c r="B30" s="772">
        <v>2119</v>
      </c>
      <c r="C30" s="785" t="s">
        <v>576</v>
      </c>
      <c r="D30" s="784"/>
      <c r="E30" s="784"/>
      <c r="F30" s="784"/>
      <c r="G30" s="784"/>
      <c r="H30" s="784"/>
      <c r="I30" s="802"/>
      <c r="J30" s="803"/>
      <c r="K30" s="802"/>
      <c r="L30" s="802"/>
      <c r="M30" s="825"/>
      <c r="N30" s="825"/>
      <c r="O30" s="825">
        <v>27000</v>
      </c>
      <c r="P30" s="863"/>
    </row>
    <row r="31" spans="1:16">
      <c r="A31" s="773">
        <v>3639</v>
      </c>
      <c r="B31" s="772">
        <v>2131</v>
      </c>
      <c r="C31" s="785" t="s">
        <v>577</v>
      </c>
      <c r="D31" s="784"/>
      <c r="E31" s="784">
        <v>218000</v>
      </c>
      <c r="F31" s="784">
        <v>217922</v>
      </c>
      <c r="G31" s="784">
        <f>E31-F31</f>
        <v>78</v>
      </c>
      <c r="H31" s="784">
        <f t="shared" si="6"/>
        <v>218000</v>
      </c>
      <c r="I31" s="802">
        <f t="shared" si="7"/>
        <v>218000</v>
      </c>
      <c r="J31" s="803"/>
      <c r="K31" s="802"/>
      <c r="L31" s="802"/>
      <c r="M31" s="825">
        <v>15000</v>
      </c>
      <c r="N31" s="825"/>
      <c r="O31" s="825">
        <v>9000</v>
      </c>
      <c r="P31" s="863"/>
    </row>
    <row r="32" spans="1:16">
      <c r="A32" s="892">
        <v>3639</v>
      </c>
      <c r="B32" s="893">
        <v>3111</v>
      </c>
      <c r="C32" s="894" t="s">
        <v>578</v>
      </c>
      <c r="D32" s="895"/>
      <c r="E32" s="895"/>
      <c r="F32" s="895"/>
      <c r="G32" s="895"/>
      <c r="H32" s="895"/>
      <c r="I32" s="896"/>
      <c r="J32" s="897"/>
      <c r="K32" s="896"/>
      <c r="L32" s="896"/>
      <c r="M32" s="898"/>
      <c r="N32" s="898"/>
      <c r="O32" s="898"/>
      <c r="P32" s="899">
        <v>24000000</v>
      </c>
    </row>
    <row r="33" spans="1:16">
      <c r="A33" s="773">
        <v>3725</v>
      </c>
      <c r="B33" s="772">
        <v>2111</v>
      </c>
      <c r="C33" s="785" t="s">
        <v>580</v>
      </c>
      <c r="D33" s="784">
        <v>320000</v>
      </c>
      <c r="E33" s="784">
        <v>320000</v>
      </c>
      <c r="F33" s="784">
        <v>233974</v>
      </c>
      <c r="G33" s="784">
        <f>E33-F33</f>
        <v>86026</v>
      </c>
      <c r="H33" s="784">
        <f t="shared" si="6"/>
        <v>320000</v>
      </c>
      <c r="I33" s="802">
        <f t="shared" si="7"/>
        <v>320000</v>
      </c>
      <c r="J33" s="803"/>
      <c r="K33" s="802">
        <v>266159</v>
      </c>
      <c r="L33" s="802">
        <v>320000</v>
      </c>
      <c r="M33" s="825">
        <v>320000</v>
      </c>
      <c r="N33" s="825">
        <v>400000</v>
      </c>
      <c r="O33" s="825">
        <v>400000</v>
      </c>
      <c r="P33" s="863">
        <v>450000</v>
      </c>
    </row>
    <row r="34" spans="1:16">
      <c r="A34" s="773">
        <v>3726</v>
      </c>
      <c r="B34" s="772">
        <v>2111</v>
      </c>
      <c r="C34" s="785" t="s">
        <v>581</v>
      </c>
      <c r="D34" s="784">
        <v>260000</v>
      </c>
      <c r="E34" s="784">
        <v>320000</v>
      </c>
      <c r="F34" s="784">
        <v>322156</v>
      </c>
      <c r="G34" s="784">
        <v>0</v>
      </c>
      <c r="H34" s="784">
        <f t="shared" si="6"/>
        <v>322156</v>
      </c>
      <c r="I34" s="802">
        <v>400000</v>
      </c>
      <c r="J34" s="803">
        <v>5000</v>
      </c>
      <c r="K34" s="802">
        <v>421161</v>
      </c>
      <c r="L34" s="802">
        <v>430000</v>
      </c>
      <c r="M34" s="825">
        <v>470000</v>
      </c>
      <c r="N34" s="825">
        <v>480000</v>
      </c>
      <c r="O34" s="825">
        <v>490000</v>
      </c>
      <c r="P34" s="863">
        <v>530000</v>
      </c>
    </row>
    <row r="35" spans="1:16">
      <c r="A35" s="773">
        <v>6171</v>
      </c>
      <c r="B35" s="772">
        <v>2111</v>
      </c>
      <c r="C35" s="785" t="s">
        <v>582</v>
      </c>
      <c r="D35" s="784">
        <v>1000</v>
      </c>
      <c r="E35" s="784">
        <v>4500</v>
      </c>
      <c r="F35" s="784">
        <v>14412</v>
      </c>
      <c r="G35" s="784">
        <v>0</v>
      </c>
      <c r="H35" s="784">
        <f t="shared" si="6"/>
        <v>14412</v>
      </c>
      <c r="I35" s="802">
        <f t="shared" si="7"/>
        <v>14412</v>
      </c>
      <c r="J35" s="803"/>
      <c r="K35" s="802">
        <v>3034</v>
      </c>
      <c r="L35" s="802">
        <v>5000</v>
      </c>
      <c r="M35" s="825">
        <v>6000</v>
      </c>
      <c r="N35" s="825">
        <v>5000</v>
      </c>
      <c r="O35" s="825">
        <v>2000</v>
      </c>
      <c r="P35" s="863">
        <v>5000</v>
      </c>
    </row>
    <row r="36" spans="1:16">
      <c r="A36" s="773">
        <v>6171</v>
      </c>
      <c r="B36" s="772">
        <v>2112</v>
      </c>
      <c r="C36" s="785" t="s">
        <v>583</v>
      </c>
      <c r="D36" s="784">
        <v>5000</v>
      </c>
      <c r="E36" s="784">
        <v>5000</v>
      </c>
      <c r="F36" s="784">
        <v>3850</v>
      </c>
      <c r="G36" s="784">
        <f>E36-F36</f>
        <v>1150</v>
      </c>
      <c r="H36" s="784">
        <f t="shared" si="6"/>
        <v>5000</v>
      </c>
      <c r="I36" s="802">
        <f t="shared" si="7"/>
        <v>5000</v>
      </c>
      <c r="J36" s="803"/>
      <c r="K36" s="802">
        <v>3862</v>
      </c>
      <c r="L36" s="802">
        <v>5000</v>
      </c>
      <c r="M36" s="825">
        <v>39000</v>
      </c>
      <c r="N36" s="825">
        <v>5000</v>
      </c>
      <c r="O36" s="825">
        <v>2000</v>
      </c>
      <c r="P36" s="863">
        <v>2000</v>
      </c>
    </row>
    <row r="37" spans="1:16">
      <c r="A37" s="773">
        <v>6171</v>
      </c>
      <c r="B37" s="772">
        <v>2132</v>
      </c>
      <c r="C37" s="785" t="s">
        <v>584</v>
      </c>
      <c r="D37" s="784">
        <v>2000</v>
      </c>
      <c r="E37" s="784">
        <v>2000</v>
      </c>
      <c r="F37" s="784"/>
      <c r="G37" s="784">
        <f>E37-F37</f>
        <v>2000</v>
      </c>
      <c r="H37" s="784">
        <f>G37+F37</f>
        <v>2000</v>
      </c>
      <c r="I37" s="802">
        <f t="shared" si="7"/>
        <v>2000</v>
      </c>
      <c r="J37" s="803"/>
      <c r="K37" s="802">
        <v>1212</v>
      </c>
      <c r="L37" s="802">
        <v>2000</v>
      </c>
      <c r="M37" s="825"/>
      <c r="N37" s="825"/>
      <c r="O37" s="825"/>
      <c r="P37" s="863"/>
    </row>
    <row r="38" spans="1:16">
      <c r="A38" s="773">
        <v>6171</v>
      </c>
      <c r="B38" s="772">
        <v>2212</v>
      </c>
      <c r="C38" s="785" t="s">
        <v>585</v>
      </c>
      <c r="D38" s="784"/>
      <c r="E38" s="784">
        <v>500</v>
      </c>
      <c r="F38" s="784">
        <v>1500</v>
      </c>
      <c r="G38" s="784">
        <v>0</v>
      </c>
      <c r="H38" s="784">
        <f t="shared" si="6"/>
        <v>1500</v>
      </c>
      <c r="I38" s="802">
        <f t="shared" si="7"/>
        <v>1500</v>
      </c>
      <c r="J38" s="803"/>
      <c r="K38" s="802">
        <v>5000</v>
      </c>
      <c r="L38" s="802">
        <v>1500</v>
      </c>
      <c r="M38" s="825"/>
      <c r="N38" s="825">
        <v>2000</v>
      </c>
      <c r="O38" s="825">
        <v>1000</v>
      </c>
      <c r="P38" s="863">
        <v>10000</v>
      </c>
    </row>
    <row r="39" spans="1:16">
      <c r="A39" s="892">
        <v>6171</v>
      </c>
      <c r="B39" s="893">
        <v>3113</v>
      </c>
      <c r="C39" s="894" t="s">
        <v>586</v>
      </c>
      <c r="D39" s="895"/>
      <c r="E39" s="895"/>
      <c r="F39" s="895"/>
      <c r="G39" s="895"/>
      <c r="H39" s="895"/>
      <c r="I39" s="896"/>
      <c r="J39" s="897"/>
      <c r="K39" s="896"/>
      <c r="L39" s="896"/>
      <c r="M39" s="898"/>
      <c r="N39" s="898"/>
      <c r="O39" s="898"/>
      <c r="P39" s="899"/>
    </row>
    <row r="40" spans="1:16">
      <c r="A40" s="773">
        <v>6310</v>
      </c>
      <c r="B40" s="772">
        <v>2141</v>
      </c>
      <c r="C40" s="785" t="s">
        <v>587</v>
      </c>
      <c r="D40" s="784">
        <v>500</v>
      </c>
      <c r="E40" s="784">
        <v>500</v>
      </c>
      <c r="F40" s="784"/>
      <c r="G40" s="784">
        <f>E40-F40</f>
        <v>500</v>
      </c>
      <c r="H40" s="784">
        <f t="shared" si="6"/>
        <v>500</v>
      </c>
      <c r="I40" s="802">
        <f t="shared" si="7"/>
        <v>500</v>
      </c>
      <c r="J40" s="803"/>
      <c r="K40" s="802"/>
      <c r="L40" s="802">
        <v>500</v>
      </c>
      <c r="M40" s="825">
        <v>930000</v>
      </c>
      <c r="N40" s="825">
        <v>1872000</v>
      </c>
      <c r="O40" s="825">
        <v>2300000</v>
      </c>
      <c r="P40" s="863">
        <v>1500000</v>
      </c>
    </row>
    <row r="41" spans="1:16">
      <c r="A41" s="1099" t="s">
        <v>588</v>
      </c>
      <c r="B41" s="1100"/>
      <c r="C41" s="1101"/>
      <c r="D41" s="849">
        <f t="shared" ref="D41:I41" si="8">SUM(D25:D40)</f>
        <v>4938500</v>
      </c>
      <c r="E41" s="849">
        <f t="shared" si="8"/>
        <v>5240500</v>
      </c>
      <c r="F41" s="951">
        <f t="shared" si="8"/>
        <v>4542228.18</v>
      </c>
      <c r="G41" s="951">
        <f t="shared" si="8"/>
        <v>725339.81999999983</v>
      </c>
      <c r="H41" s="951">
        <f t="shared" si="8"/>
        <v>5267568</v>
      </c>
      <c r="I41" s="850">
        <f t="shared" si="8"/>
        <v>5345412</v>
      </c>
      <c r="J41" s="851"/>
      <c r="K41" s="850">
        <f t="shared" ref="K41:N41" si="9">SUM(K25:K40)</f>
        <v>3125039</v>
      </c>
      <c r="L41" s="850">
        <f t="shared" si="9"/>
        <v>5144000</v>
      </c>
      <c r="M41" s="852">
        <f t="shared" si="9"/>
        <v>6290000</v>
      </c>
      <c r="N41" s="852">
        <f t="shared" si="9"/>
        <v>7264000</v>
      </c>
      <c r="O41" s="852">
        <f>SUM(O24:O40)</f>
        <v>8012000</v>
      </c>
      <c r="P41" s="888">
        <f>SUM(P24:P40)-P32-P39</f>
        <v>7807000</v>
      </c>
    </row>
    <row r="42" spans="1:16" ht="14" thickBot="1">
      <c r="A42" s="1102" t="s">
        <v>589</v>
      </c>
      <c r="B42" s="1103"/>
      <c r="C42" s="1104"/>
      <c r="D42" s="782" t="e">
        <f>#REF!</f>
        <v>#REF!</v>
      </c>
      <c r="E42" s="782" t="e">
        <f>#REF!</f>
        <v>#REF!</v>
      </c>
      <c r="F42" s="782" t="e">
        <f>#REF!</f>
        <v>#REF!</v>
      </c>
      <c r="G42" s="782" t="e">
        <f>#REF!</f>
        <v>#REF!</v>
      </c>
      <c r="H42" s="782" t="e">
        <f>G42+F42</f>
        <v>#REF!</v>
      </c>
      <c r="I42" s="791" t="e">
        <f>#REF!</f>
        <v>#REF!</v>
      </c>
      <c r="J42" s="857"/>
      <c r="K42" s="791"/>
      <c r="L42" s="822"/>
      <c r="M42" s="858"/>
      <c r="N42" s="858">
        <f>N32+N39</f>
        <v>0</v>
      </c>
      <c r="O42" s="858">
        <f>O32+O39</f>
        <v>0</v>
      </c>
      <c r="P42" s="859">
        <f>P32+P39</f>
        <v>24000000</v>
      </c>
    </row>
    <row r="43" spans="1:16" ht="14" thickBot="1">
      <c r="A43" s="1105" t="s">
        <v>590</v>
      </c>
      <c r="B43" s="1106"/>
      <c r="C43" s="1107"/>
      <c r="D43" s="793" t="e">
        <f t="shared" ref="D43:I43" si="10">D17+D23+D41+D42</f>
        <v>#REF!</v>
      </c>
      <c r="E43" s="793" t="e">
        <f t="shared" si="10"/>
        <v>#REF!</v>
      </c>
      <c r="F43" s="793" t="e">
        <f t="shared" si="10"/>
        <v>#REF!</v>
      </c>
      <c r="G43" s="793" t="e">
        <f t="shared" si="10"/>
        <v>#REF!</v>
      </c>
      <c r="H43" s="793" t="e">
        <f t="shared" si="10"/>
        <v>#REF!</v>
      </c>
      <c r="I43" s="794" t="e">
        <f t="shared" si="10"/>
        <v>#REF!</v>
      </c>
      <c r="J43" s="814"/>
      <c r="K43" s="794">
        <f>K17+K23+K41</f>
        <v>21419519</v>
      </c>
      <c r="L43" s="823">
        <f>L17+L23+L41</f>
        <v>24242000</v>
      </c>
      <c r="M43" s="827">
        <f>M17+M23+M41+M42</f>
        <v>33720007</v>
      </c>
      <c r="N43" s="827">
        <f>N17+N23+N41+N42</f>
        <v>35613000</v>
      </c>
      <c r="O43" s="828">
        <f>O17+O23+O41+O42</f>
        <v>41107000</v>
      </c>
      <c r="P43" s="907">
        <f>P17+P23+P41+P42</f>
        <v>66892000</v>
      </c>
    </row>
    <row r="44" spans="1:16" ht="14" thickBot="1">
      <c r="A44" s="952"/>
      <c r="B44" s="952"/>
      <c r="C44" s="788"/>
      <c r="D44" s="787"/>
      <c r="E44" s="787"/>
      <c r="F44" s="787"/>
      <c r="G44" s="953"/>
      <c r="H44" s="954"/>
      <c r="I44" s="954"/>
      <c r="J44" s="795"/>
      <c r="K44" s="954"/>
      <c r="L44" s="954"/>
      <c r="M44" s="826"/>
      <c r="N44" s="826"/>
    </row>
    <row r="45" spans="1:16" ht="36">
      <c r="A45" s="867"/>
      <c r="B45" s="955">
        <v>8123</v>
      </c>
      <c r="C45" s="868" t="s">
        <v>591</v>
      </c>
      <c r="D45" s="869"/>
      <c r="E45" s="869"/>
      <c r="F45" s="869"/>
      <c r="G45" s="869"/>
      <c r="H45" s="869"/>
      <c r="I45" s="869"/>
      <c r="J45" s="854" t="s">
        <v>592</v>
      </c>
      <c r="K45" s="869"/>
      <c r="L45" s="870"/>
      <c r="M45" s="871"/>
      <c r="N45" s="871"/>
      <c r="O45" s="855"/>
      <c r="P45" s="856"/>
    </row>
    <row r="46" spans="1:16" ht="14" thickBot="1">
      <c r="A46" s="872">
        <v>8115</v>
      </c>
      <c r="B46" s="873">
        <v>8115</v>
      </c>
      <c r="C46" s="874" t="s">
        <v>593</v>
      </c>
      <c r="D46" s="875">
        <f>11600200+10650000+200000+850000</f>
        <v>23300200</v>
      </c>
      <c r="E46" s="875">
        <v>25571150</v>
      </c>
      <c r="F46" s="875">
        <f>16406358.89+45150</f>
        <v>16451508.890000001</v>
      </c>
      <c r="G46" s="875" t="e">
        <f>-(G43-G175)</f>
        <v>#REF!</v>
      </c>
      <c r="H46" s="875" t="e">
        <f>-(H43-H175)</f>
        <v>#REF!</v>
      </c>
      <c r="I46" s="875" t="e">
        <f>-(I43-I175)</f>
        <v>#REF!</v>
      </c>
      <c r="J46" s="864">
        <v>-51105.41</v>
      </c>
      <c r="K46" s="875"/>
      <c r="L46" s="875">
        <v>11233929</v>
      </c>
      <c r="M46" s="876">
        <f>M175-M43</f>
        <v>-12518900</v>
      </c>
      <c r="N46" s="876">
        <f>N175-N43</f>
        <v>1576100</v>
      </c>
      <c r="O46" s="876">
        <v>-6856105</v>
      </c>
      <c r="P46" s="877">
        <v>33991000</v>
      </c>
    </row>
    <row r="47" spans="1:16" ht="14" thickBot="1">
      <c r="A47" s="1108" t="s">
        <v>594</v>
      </c>
      <c r="B47" s="1109"/>
      <c r="C47" s="1110"/>
      <c r="D47" s="793" t="e">
        <f t="shared" ref="D47:I47" si="11">SUM(D43:D46)</f>
        <v>#REF!</v>
      </c>
      <c r="E47" s="793" t="e">
        <f t="shared" si="11"/>
        <v>#REF!</v>
      </c>
      <c r="F47" s="793" t="e">
        <f t="shared" si="11"/>
        <v>#REF!</v>
      </c>
      <c r="G47" s="793" t="e">
        <f t="shared" si="11"/>
        <v>#REF!</v>
      </c>
      <c r="H47" s="793" t="e">
        <f t="shared" si="11"/>
        <v>#REF!</v>
      </c>
      <c r="I47" s="794" t="e">
        <f t="shared" si="11"/>
        <v>#REF!</v>
      </c>
      <c r="J47" s="815"/>
      <c r="K47" s="794">
        <f>SUM(K43:K46)</f>
        <v>21419519</v>
      </c>
      <c r="L47" s="823">
        <f>SUM(L43:L46)</f>
        <v>35475929</v>
      </c>
      <c r="M47" s="878">
        <f>SUM(M43:M46)</f>
        <v>21201107</v>
      </c>
      <c r="N47" s="878">
        <f>SUM(N43:N46)</f>
        <v>37189100</v>
      </c>
      <c r="O47" s="887">
        <f>O43+O45+O46</f>
        <v>34250895</v>
      </c>
      <c r="P47" s="879">
        <f>P43+P45+P46</f>
        <v>100883000</v>
      </c>
    </row>
    <row r="48" spans="1:16">
      <c r="A48" s="487"/>
      <c r="B48" s="487"/>
      <c r="C48" s="487"/>
      <c r="D48" s="789"/>
      <c r="E48" s="789"/>
      <c r="F48" s="789"/>
      <c r="G48" s="789"/>
      <c r="H48" s="789"/>
      <c r="I48" s="789"/>
      <c r="J48" s="900"/>
      <c r="K48" s="789"/>
      <c r="L48" s="789"/>
      <c r="M48" s="831"/>
      <c r="N48" s="831"/>
    </row>
    <row r="49" spans="1:19">
      <c r="A49" s="771"/>
      <c r="B49" s="771"/>
      <c r="C49" s="786"/>
      <c r="D49" s="787"/>
      <c r="E49" s="787"/>
      <c r="F49" s="787"/>
      <c r="G49" s="787"/>
      <c r="H49" s="787"/>
      <c r="I49" s="787"/>
      <c r="J49" s="795"/>
      <c r="K49" s="787"/>
      <c r="L49" s="787"/>
      <c r="M49" s="826"/>
      <c r="N49" s="826"/>
      <c r="S49" s="3"/>
    </row>
    <row r="50" spans="1:19" ht="16">
      <c r="A50" s="808" t="s">
        <v>595</v>
      </c>
      <c r="B50" s="952"/>
      <c r="C50" s="953"/>
      <c r="D50" s="789"/>
      <c r="E50" s="789"/>
      <c r="F50" s="789"/>
      <c r="G50" s="789"/>
      <c r="H50" s="789"/>
      <c r="I50" s="789"/>
      <c r="J50" s="795"/>
      <c r="K50" s="789"/>
      <c r="L50" s="789"/>
      <c r="M50" s="826"/>
      <c r="N50" s="826"/>
    </row>
    <row r="51" spans="1:19">
      <c r="A51" s="772">
        <v>1036</v>
      </c>
      <c r="B51" s="772">
        <v>5169</v>
      </c>
      <c r="C51" s="785" t="s">
        <v>596</v>
      </c>
      <c r="D51" s="784"/>
      <c r="E51" s="784"/>
      <c r="F51" s="784"/>
      <c r="G51" s="784"/>
      <c r="H51" s="784"/>
      <c r="I51" s="784"/>
      <c r="J51" s="803"/>
      <c r="K51" s="784"/>
      <c r="L51" s="784"/>
      <c r="M51" s="825"/>
      <c r="N51" s="825"/>
      <c r="O51" s="825">
        <v>95000</v>
      </c>
      <c r="P51" s="825"/>
    </row>
    <row r="52" spans="1:19">
      <c r="A52" s="947">
        <v>2212</v>
      </c>
      <c r="B52" s="948">
        <v>5171</v>
      </c>
      <c r="C52" s="807" t="s">
        <v>597</v>
      </c>
      <c r="D52" s="902">
        <v>100000</v>
      </c>
      <c r="E52" s="902">
        <v>850000</v>
      </c>
      <c r="F52" s="902">
        <v>48062</v>
      </c>
      <c r="G52" s="956" t="e">
        <f>#REF!+320000-8943</f>
        <v>#REF!</v>
      </c>
      <c r="H52" s="902" t="e">
        <f>(G52+F52)</f>
        <v>#REF!</v>
      </c>
      <c r="I52" s="903">
        <v>50000</v>
      </c>
      <c r="J52" s="904">
        <v>800000</v>
      </c>
      <c r="K52" s="903">
        <v>1005157</v>
      </c>
      <c r="L52" s="903">
        <v>100000</v>
      </c>
      <c r="M52" s="853">
        <v>100000</v>
      </c>
      <c r="N52" s="853">
        <v>500000</v>
      </c>
      <c r="O52" s="853">
        <v>6500000</v>
      </c>
      <c r="P52" s="883">
        <v>12000000</v>
      </c>
    </row>
    <row r="53" spans="1:19">
      <c r="A53" s="773">
        <v>2219</v>
      </c>
      <c r="B53" s="772">
        <v>5171</v>
      </c>
      <c r="C53" s="785" t="s">
        <v>599</v>
      </c>
      <c r="D53" s="784"/>
      <c r="E53" s="784">
        <v>400000</v>
      </c>
      <c r="F53" s="784"/>
      <c r="G53" s="784">
        <v>0</v>
      </c>
      <c r="H53" s="784">
        <f>G53+F53</f>
        <v>0</v>
      </c>
      <c r="I53" s="802">
        <v>50000</v>
      </c>
      <c r="J53" s="810"/>
      <c r="K53" s="802">
        <v>8803</v>
      </c>
      <c r="L53" s="802">
        <v>100000</v>
      </c>
      <c r="M53" s="825">
        <v>170000</v>
      </c>
      <c r="N53" s="825">
        <v>100000</v>
      </c>
      <c r="O53" s="825"/>
      <c r="P53" s="863"/>
    </row>
    <row r="54" spans="1:19">
      <c r="A54" s="773">
        <v>2221</v>
      </c>
      <c r="B54" s="772">
        <v>5323</v>
      </c>
      <c r="C54" s="785" t="s">
        <v>600</v>
      </c>
      <c r="D54" s="784">
        <v>900000</v>
      </c>
      <c r="E54" s="784">
        <v>900000</v>
      </c>
      <c r="F54" s="784">
        <v>471613.32</v>
      </c>
      <c r="G54" s="784">
        <f t="shared" ref="G54:G96" si="12">E54-F54</f>
        <v>428386.68</v>
      </c>
      <c r="H54" s="784">
        <f t="shared" ref="H54:H114" si="13">G54+F54</f>
        <v>900000</v>
      </c>
      <c r="I54" s="802">
        <f>H54</f>
        <v>900000</v>
      </c>
      <c r="J54" s="810"/>
      <c r="K54" s="802">
        <v>794805</v>
      </c>
      <c r="L54" s="802">
        <v>900000</v>
      </c>
      <c r="M54" s="825">
        <v>900000</v>
      </c>
      <c r="N54" s="825">
        <v>900000</v>
      </c>
      <c r="O54" s="825">
        <v>900000</v>
      </c>
      <c r="P54" s="863">
        <v>900000</v>
      </c>
    </row>
    <row r="55" spans="1:19">
      <c r="A55" s="773">
        <v>2223</v>
      </c>
      <c r="B55" s="772">
        <v>5139</v>
      </c>
      <c r="C55" s="785" t="s">
        <v>601</v>
      </c>
      <c r="D55" s="784"/>
      <c r="E55" s="784"/>
      <c r="F55" s="784"/>
      <c r="G55" s="784"/>
      <c r="H55" s="784"/>
      <c r="I55" s="802"/>
      <c r="J55" s="810"/>
      <c r="K55" s="802"/>
      <c r="L55" s="802"/>
      <c r="M55" s="825"/>
      <c r="N55" s="825"/>
      <c r="O55" s="825">
        <v>60000</v>
      </c>
      <c r="P55" s="863"/>
    </row>
    <row r="56" spans="1:19">
      <c r="A56" s="773">
        <v>2223</v>
      </c>
      <c r="B56" s="772">
        <v>5169</v>
      </c>
      <c r="C56" s="785" t="s">
        <v>602</v>
      </c>
      <c r="D56" s="784"/>
      <c r="E56" s="784"/>
      <c r="F56" s="784"/>
      <c r="G56" s="784"/>
      <c r="H56" s="784"/>
      <c r="I56" s="802"/>
      <c r="J56" s="810"/>
      <c r="K56" s="802"/>
      <c r="L56" s="802"/>
      <c r="M56" s="825"/>
      <c r="N56" s="825"/>
      <c r="O56" s="825">
        <v>200000</v>
      </c>
      <c r="P56" s="863"/>
    </row>
    <row r="57" spans="1:19">
      <c r="A57" s="773">
        <v>2223</v>
      </c>
      <c r="B57" s="772">
        <v>5171</v>
      </c>
      <c r="C57" s="785" t="s">
        <v>603</v>
      </c>
      <c r="D57" s="784">
        <v>20000</v>
      </c>
      <c r="E57" s="784">
        <v>20000</v>
      </c>
      <c r="F57" s="784"/>
      <c r="G57" s="784">
        <f t="shared" si="12"/>
        <v>20000</v>
      </c>
      <c r="H57" s="784">
        <f t="shared" si="13"/>
        <v>20000</v>
      </c>
      <c r="I57" s="802">
        <f>H57</f>
        <v>20000</v>
      </c>
      <c r="J57" s="810"/>
      <c r="K57" s="802"/>
      <c r="L57" s="802">
        <v>20000</v>
      </c>
      <c r="M57" s="825">
        <v>1600000</v>
      </c>
      <c r="N57" s="825">
        <v>20000</v>
      </c>
      <c r="O57" s="825">
        <v>600000</v>
      </c>
      <c r="P57" s="863">
        <v>50000</v>
      </c>
    </row>
    <row r="58" spans="1:19">
      <c r="A58" s="836">
        <v>2223</v>
      </c>
      <c r="B58" s="837">
        <v>6121</v>
      </c>
      <c r="C58" s="838" t="s">
        <v>604</v>
      </c>
      <c r="D58" s="839"/>
      <c r="E58" s="839"/>
      <c r="F58" s="839"/>
      <c r="G58" s="839" t="e">
        <f>#REF!</f>
        <v>#REF!</v>
      </c>
      <c r="H58" s="839" t="e">
        <f t="shared" si="13"/>
        <v>#REF!</v>
      </c>
      <c r="I58" s="840" t="e">
        <f>#REF!</f>
        <v>#REF!</v>
      </c>
      <c r="J58" s="841"/>
      <c r="K58" s="840">
        <v>417871</v>
      </c>
      <c r="L58" s="840">
        <v>1150000</v>
      </c>
      <c r="M58" s="842">
        <v>80000</v>
      </c>
      <c r="N58" s="842">
        <f>330000+4750000+150000</f>
        <v>5230000</v>
      </c>
      <c r="O58" s="842">
        <v>3000000</v>
      </c>
      <c r="P58" s="901">
        <v>15000000</v>
      </c>
    </row>
    <row r="59" spans="1:19">
      <c r="A59" s="773">
        <v>2310</v>
      </c>
      <c r="B59" s="772">
        <v>5139</v>
      </c>
      <c r="C59" s="785" t="s">
        <v>606</v>
      </c>
      <c r="D59" s="784">
        <v>5000</v>
      </c>
      <c r="E59" s="784">
        <v>5000</v>
      </c>
      <c r="F59" s="784">
        <v>5733</v>
      </c>
      <c r="G59" s="784">
        <v>0</v>
      </c>
      <c r="H59" s="784">
        <f t="shared" si="13"/>
        <v>5733</v>
      </c>
      <c r="I59" s="802">
        <f>H59</f>
        <v>5733</v>
      </c>
      <c r="J59" s="810"/>
      <c r="K59" s="802"/>
      <c r="L59" s="802">
        <v>2000</v>
      </c>
      <c r="M59" s="825">
        <v>67000</v>
      </c>
      <c r="N59" s="825">
        <v>50000</v>
      </c>
      <c r="O59" s="825">
        <v>20000</v>
      </c>
      <c r="P59" s="863">
        <v>50000</v>
      </c>
    </row>
    <row r="60" spans="1:19">
      <c r="A60" s="773">
        <v>2321</v>
      </c>
      <c r="B60" s="772">
        <v>5169</v>
      </c>
      <c r="C60" s="785" t="s">
        <v>607</v>
      </c>
      <c r="D60" s="784">
        <v>10000</v>
      </c>
      <c r="E60" s="784">
        <v>10000</v>
      </c>
      <c r="F60" s="784"/>
      <c r="G60" s="784">
        <f t="shared" si="12"/>
        <v>10000</v>
      </c>
      <c r="H60" s="784">
        <f t="shared" si="13"/>
        <v>10000</v>
      </c>
      <c r="I60" s="802">
        <f t="shared" ref="I60:I73" si="14">H60</f>
        <v>10000</v>
      </c>
      <c r="J60" s="810"/>
      <c r="K60" s="802">
        <v>19316</v>
      </c>
      <c r="L60" s="802">
        <v>20000</v>
      </c>
      <c r="M60" s="825"/>
      <c r="N60" s="825">
        <v>20000</v>
      </c>
      <c r="O60" s="825"/>
      <c r="P60" s="863">
        <v>100000</v>
      </c>
    </row>
    <row r="61" spans="1:19">
      <c r="A61" s="773">
        <v>2321</v>
      </c>
      <c r="B61" s="772">
        <v>5171</v>
      </c>
      <c r="C61" s="785" t="s">
        <v>608</v>
      </c>
      <c r="D61" s="784">
        <v>40000</v>
      </c>
      <c r="E61" s="784">
        <v>40000</v>
      </c>
      <c r="F61" s="784"/>
      <c r="G61" s="784">
        <f t="shared" si="12"/>
        <v>40000</v>
      </c>
      <c r="H61" s="784">
        <f t="shared" si="13"/>
        <v>40000</v>
      </c>
      <c r="I61" s="802">
        <f t="shared" si="14"/>
        <v>40000</v>
      </c>
      <c r="J61" s="810"/>
      <c r="K61" s="802">
        <v>14707</v>
      </c>
      <c r="L61" s="802">
        <v>40000</v>
      </c>
      <c r="M61" s="825">
        <v>40000</v>
      </c>
      <c r="N61" s="825">
        <v>500000</v>
      </c>
      <c r="O61" s="825">
        <v>10000</v>
      </c>
      <c r="P61" s="863">
        <v>800000</v>
      </c>
    </row>
    <row r="62" spans="1:19">
      <c r="A62" s="773">
        <v>2329</v>
      </c>
      <c r="B62" s="772">
        <v>5011</v>
      </c>
      <c r="C62" s="785" t="s">
        <v>610</v>
      </c>
      <c r="D62" s="784">
        <v>20000</v>
      </c>
      <c r="E62" s="784">
        <v>20000</v>
      </c>
      <c r="F62" s="784">
        <v>10400</v>
      </c>
      <c r="G62" s="784">
        <f t="shared" si="12"/>
        <v>9600</v>
      </c>
      <c r="H62" s="784">
        <f t="shared" si="13"/>
        <v>20000</v>
      </c>
      <c r="I62" s="802">
        <f t="shared" si="14"/>
        <v>20000</v>
      </c>
      <c r="J62" s="810"/>
      <c r="K62" s="802">
        <v>49419</v>
      </c>
      <c r="L62" s="802">
        <v>80000</v>
      </c>
      <c r="M62" s="825">
        <v>100000</v>
      </c>
      <c r="N62" s="825">
        <v>100000</v>
      </c>
      <c r="O62" s="825">
        <v>120000</v>
      </c>
      <c r="P62" s="863">
        <v>120000</v>
      </c>
    </row>
    <row r="63" spans="1:19">
      <c r="A63" s="773">
        <v>2329</v>
      </c>
      <c r="B63" s="772">
        <v>5021</v>
      </c>
      <c r="C63" s="785" t="s">
        <v>611</v>
      </c>
      <c r="D63" s="784">
        <v>30000</v>
      </c>
      <c r="E63" s="784">
        <v>30000</v>
      </c>
      <c r="F63" s="784">
        <v>30450</v>
      </c>
      <c r="G63" s="784">
        <v>0</v>
      </c>
      <c r="H63" s="784">
        <f t="shared" si="13"/>
        <v>30450</v>
      </c>
      <c r="I63" s="802">
        <f t="shared" si="14"/>
        <v>30450</v>
      </c>
      <c r="J63" s="810"/>
      <c r="K63" s="802">
        <v>45391</v>
      </c>
      <c r="L63" s="802">
        <v>60000</v>
      </c>
      <c r="M63" s="825">
        <v>50000</v>
      </c>
      <c r="N63" s="825">
        <v>50000</v>
      </c>
      <c r="O63" s="825">
        <v>60000</v>
      </c>
      <c r="P63" s="863">
        <v>60000</v>
      </c>
    </row>
    <row r="64" spans="1:19">
      <c r="A64" s="773">
        <v>2329</v>
      </c>
      <c r="B64" s="772">
        <v>5031</v>
      </c>
      <c r="C64" s="785" t="s">
        <v>612</v>
      </c>
      <c r="D64" s="784">
        <v>12000</v>
      </c>
      <c r="E64" s="784">
        <v>12000</v>
      </c>
      <c r="F64" s="784">
        <v>2590</v>
      </c>
      <c r="G64" s="784">
        <f t="shared" si="12"/>
        <v>9410</v>
      </c>
      <c r="H64" s="784">
        <f t="shared" si="13"/>
        <v>12000</v>
      </c>
      <c r="I64" s="802">
        <f t="shared" si="14"/>
        <v>12000</v>
      </c>
      <c r="J64" s="810"/>
      <c r="K64" s="802">
        <v>3682</v>
      </c>
      <c r="L64" s="802">
        <v>12000</v>
      </c>
      <c r="M64" s="825">
        <v>10000</v>
      </c>
      <c r="N64" s="825">
        <v>10000</v>
      </c>
      <c r="O64" s="825">
        <v>10000</v>
      </c>
      <c r="P64" s="863">
        <v>10000</v>
      </c>
    </row>
    <row r="65" spans="1:16">
      <c r="A65" s="773">
        <v>2329</v>
      </c>
      <c r="B65" s="772">
        <v>5032</v>
      </c>
      <c r="C65" s="785" t="s">
        <v>613</v>
      </c>
      <c r="D65" s="784">
        <v>8000</v>
      </c>
      <c r="E65" s="784">
        <v>8000</v>
      </c>
      <c r="F65" s="784">
        <v>936</v>
      </c>
      <c r="G65" s="784">
        <f t="shared" si="12"/>
        <v>7064</v>
      </c>
      <c r="H65" s="784">
        <f t="shared" si="13"/>
        <v>8000</v>
      </c>
      <c r="I65" s="802">
        <f t="shared" si="14"/>
        <v>8000</v>
      </c>
      <c r="J65" s="810"/>
      <c r="K65" s="802">
        <v>1337</v>
      </c>
      <c r="L65" s="802">
        <v>8000</v>
      </c>
      <c r="M65" s="825">
        <v>5000</v>
      </c>
      <c r="N65" s="825">
        <v>5000</v>
      </c>
      <c r="O65" s="825">
        <v>5000</v>
      </c>
      <c r="P65" s="863">
        <v>5000</v>
      </c>
    </row>
    <row r="66" spans="1:16">
      <c r="A66" s="773">
        <v>2329</v>
      </c>
      <c r="B66" s="772">
        <v>5139</v>
      </c>
      <c r="C66" s="785" t="s">
        <v>614</v>
      </c>
      <c r="D66" s="784">
        <v>5000</v>
      </c>
      <c r="E66" s="784">
        <v>25000</v>
      </c>
      <c r="F66" s="784">
        <v>22620</v>
      </c>
      <c r="G66" s="784">
        <f t="shared" si="12"/>
        <v>2380</v>
      </c>
      <c r="H66" s="784">
        <f t="shared" si="13"/>
        <v>25000</v>
      </c>
      <c r="I66" s="802">
        <f t="shared" si="14"/>
        <v>25000</v>
      </c>
      <c r="J66" s="810"/>
      <c r="K66" s="802">
        <v>39540</v>
      </c>
      <c r="L66" s="802">
        <v>56000</v>
      </c>
      <c r="M66" s="825">
        <v>140000</v>
      </c>
      <c r="N66" s="825">
        <v>140000</v>
      </c>
      <c r="O66" s="825">
        <v>140000</v>
      </c>
      <c r="P66" s="863">
        <v>140000</v>
      </c>
    </row>
    <row r="67" spans="1:16">
      <c r="A67" s="773">
        <v>2329</v>
      </c>
      <c r="B67" s="772">
        <v>5154</v>
      </c>
      <c r="C67" s="785" t="s">
        <v>615</v>
      </c>
      <c r="D67" s="784">
        <v>300000</v>
      </c>
      <c r="E67" s="784">
        <v>300000</v>
      </c>
      <c r="F67" s="784">
        <v>245523.26</v>
      </c>
      <c r="G67" s="784">
        <f t="shared" si="12"/>
        <v>54476.739999999991</v>
      </c>
      <c r="H67" s="784">
        <f t="shared" si="13"/>
        <v>300000</v>
      </c>
      <c r="I67" s="802">
        <f t="shared" si="14"/>
        <v>300000</v>
      </c>
      <c r="J67" s="810"/>
      <c r="K67" s="802">
        <v>357221</v>
      </c>
      <c r="L67" s="802">
        <v>400000</v>
      </c>
      <c r="M67" s="825">
        <v>1300000</v>
      </c>
      <c r="N67" s="825">
        <v>1400000</v>
      </c>
      <c r="O67" s="825">
        <v>1000000</v>
      </c>
      <c r="P67" s="863">
        <v>1000000</v>
      </c>
    </row>
    <row r="68" spans="1:16">
      <c r="A68" s="773">
        <v>2329</v>
      </c>
      <c r="B68" s="772">
        <v>5151</v>
      </c>
      <c r="C68" s="785" t="s">
        <v>616</v>
      </c>
      <c r="D68" s="784"/>
      <c r="E68" s="784"/>
      <c r="F68" s="784">
        <v>49320</v>
      </c>
      <c r="G68" s="784">
        <f>60000-F68</f>
        <v>10680</v>
      </c>
      <c r="H68" s="784">
        <f t="shared" si="13"/>
        <v>60000</v>
      </c>
      <c r="I68" s="802">
        <f t="shared" si="14"/>
        <v>60000</v>
      </c>
      <c r="J68" s="810"/>
      <c r="K68" s="802"/>
      <c r="L68" s="802">
        <v>10000</v>
      </c>
      <c r="M68" s="825">
        <v>10000</v>
      </c>
      <c r="N68" s="825">
        <v>10000</v>
      </c>
      <c r="O68" s="825"/>
      <c r="P68" s="863"/>
    </row>
    <row r="69" spans="1:16">
      <c r="A69" s="773">
        <v>2329</v>
      </c>
      <c r="B69" s="772">
        <v>5169</v>
      </c>
      <c r="C69" s="785" t="s">
        <v>617</v>
      </c>
      <c r="D69" s="784">
        <v>750000</v>
      </c>
      <c r="E69" s="784">
        <v>750000</v>
      </c>
      <c r="F69" s="784">
        <v>274259.26</v>
      </c>
      <c r="G69" s="784">
        <f t="shared" si="12"/>
        <v>475740.74</v>
      </c>
      <c r="H69" s="784">
        <f t="shared" si="13"/>
        <v>750000</v>
      </c>
      <c r="I69" s="802">
        <f t="shared" si="14"/>
        <v>750000</v>
      </c>
      <c r="J69" s="810"/>
      <c r="K69" s="802">
        <v>376997</v>
      </c>
      <c r="L69" s="802">
        <v>510000</v>
      </c>
      <c r="M69" s="825">
        <v>500000</v>
      </c>
      <c r="N69" s="825">
        <v>500000</v>
      </c>
      <c r="O69" s="825">
        <v>500000</v>
      </c>
      <c r="P69" s="863">
        <v>500000</v>
      </c>
    </row>
    <row r="70" spans="1:16">
      <c r="A70" s="773">
        <v>2329</v>
      </c>
      <c r="B70" s="772">
        <v>5171</v>
      </c>
      <c r="C70" s="785" t="s">
        <v>618</v>
      </c>
      <c r="D70" s="784">
        <v>100000</v>
      </c>
      <c r="E70" s="784">
        <v>100000</v>
      </c>
      <c r="F70" s="784">
        <v>73498.52</v>
      </c>
      <c r="G70" s="784">
        <f t="shared" si="12"/>
        <v>26501.479999999996</v>
      </c>
      <c r="H70" s="784">
        <f t="shared" si="13"/>
        <v>100000</v>
      </c>
      <c r="I70" s="802">
        <f t="shared" si="14"/>
        <v>100000</v>
      </c>
      <c r="J70" s="810"/>
      <c r="K70" s="802">
        <v>144713</v>
      </c>
      <c r="L70" s="802">
        <v>150000</v>
      </c>
      <c r="M70" s="825">
        <v>220000</v>
      </c>
      <c r="N70" s="825">
        <v>200000</v>
      </c>
      <c r="O70" s="825">
        <v>350000</v>
      </c>
      <c r="P70" s="863">
        <v>350000</v>
      </c>
    </row>
    <row r="71" spans="1:16">
      <c r="A71" s="773">
        <v>2329</v>
      </c>
      <c r="B71" s="772">
        <v>5362</v>
      </c>
      <c r="C71" s="785" t="s">
        <v>619</v>
      </c>
      <c r="D71" s="784">
        <v>30000</v>
      </c>
      <c r="E71" s="784">
        <v>30000</v>
      </c>
      <c r="F71" s="784"/>
      <c r="G71" s="784">
        <f t="shared" si="12"/>
        <v>30000</v>
      </c>
      <c r="H71" s="784">
        <f t="shared" si="13"/>
        <v>30000</v>
      </c>
      <c r="I71" s="802">
        <f t="shared" si="14"/>
        <v>30000</v>
      </c>
      <c r="J71" s="810"/>
      <c r="K71" s="802">
        <v>21725</v>
      </c>
      <c r="L71" s="802">
        <v>25000</v>
      </c>
      <c r="M71" s="825">
        <v>25000</v>
      </c>
      <c r="N71" s="825">
        <v>25000</v>
      </c>
      <c r="O71" s="825">
        <v>22000</v>
      </c>
      <c r="P71" s="863">
        <v>25000</v>
      </c>
    </row>
    <row r="72" spans="1:16">
      <c r="A72" s="836">
        <v>2329</v>
      </c>
      <c r="B72" s="837">
        <v>6121</v>
      </c>
      <c r="C72" s="838" t="s">
        <v>620</v>
      </c>
      <c r="D72" s="839"/>
      <c r="E72" s="839"/>
      <c r="F72" s="839"/>
      <c r="G72" s="839"/>
      <c r="H72" s="839"/>
      <c r="I72" s="840"/>
      <c r="J72" s="841"/>
      <c r="K72" s="840">
        <v>613175</v>
      </c>
      <c r="L72" s="840"/>
      <c r="M72" s="842">
        <v>180000</v>
      </c>
      <c r="N72" s="842">
        <v>150000</v>
      </c>
      <c r="O72" s="842"/>
      <c r="P72" s="901"/>
    </row>
    <row r="73" spans="1:16">
      <c r="A73" s="773">
        <v>2334</v>
      </c>
      <c r="B73" s="772">
        <v>5171</v>
      </c>
      <c r="C73" s="785" t="s">
        <v>621</v>
      </c>
      <c r="D73" s="784">
        <v>50000</v>
      </c>
      <c r="E73" s="784">
        <v>200000</v>
      </c>
      <c r="F73" s="784">
        <v>29597</v>
      </c>
      <c r="G73" s="784">
        <f t="shared" si="12"/>
        <v>170403</v>
      </c>
      <c r="H73" s="784">
        <f t="shared" si="13"/>
        <v>200000</v>
      </c>
      <c r="I73" s="802">
        <f t="shared" si="14"/>
        <v>200000</v>
      </c>
      <c r="J73" s="810"/>
      <c r="K73" s="802">
        <v>81053</v>
      </c>
      <c r="L73" s="802">
        <v>100000</v>
      </c>
      <c r="M73" s="825">
        <v>10000</v>
      </c>
      <c r="N73" s="825">
        <v>100000</v>
      </c>
      <c r="O73" s="825">
        <v>100000</v>
      </c>
      <c r="P73" s="863">
        <v>100000</v>
      </c>
    </row>
    <row r="74" spans="1:16">
      <c r="A74" s="836">
        <v>2334</v>
      </c>
      <c r="B74" s="837">
        <v>6121</v>
      </c>
      <c r="C74" s="838" t="s">
        <v>622</v>
      </c>
      <c r="D74" s="839"/>
      <c r="E74" s="839"/>
      <c r="F74" s="839"/>
      <c r="G74" s="839" t="e">
        <f>#REF!</f>
        <v>#REF!</v>
      </c>
      <c r="H74" s="839" t="e">
        <f t="shared" si="13"/>
        <v>#REF!</v>
      </c>
      <c r="I74" s="840" t="e">
        <f>#REF!</f>
        <v>#REF!</v>
      </c>
      <c r="J74" s="841"/>
      <c r="K74" s="840"/>
      <c r="L74" s="840">
        <v>4900000</v>
      </c>
      <c r="M74" s="842">
        <v>340000</v>
      </c>
      <c r="N74" s="842">
        <v>30000</v>
      </c>
      <c r="O74" s="842">
        <v>250000</v>
      </c>
      <c r="P74" s="901">
        <v>2500000</v>
      </c>
    </row>
    <row r="75" spans="1:16">
      <c r="A75" s="773">
        <v>3111</v>
      </c>
      <c r="B75" s="772">
        <v>5137</v>
      </c>
      <c r="C75" s="785" t="s">
        <v>624</v>
      </c>
      <c r="D75" s="784"/>
      <c r="E75" s="784">
        <v>2500000</v>
      </c>
      <c r="F75" s="784">
        <v>890909.21</v>
      </c>
      <c r="G75" s="784">
        <f t="shared" si="12"/>
        <v>1609090.79</v>
      </c>
      <c r="H75" s="784">
        <f t="shared" si="13"/>
        <v>2500000</v>
      </c>
      <c r="I75" s="802">
        <v>0</v>
      </c>
      <c r="J75" s="810"/>
      <c r="K75" s="802"/>
      <c r="L75" s="802"/>
      <c r="M75" s="825"/>
      <c r="N75" s="825"/>
      <c r="O75" s="825"/>
      <c r="P75" s="863"/>
    </row>
    <row r="76" spans="1:16">
      <c r="A76" s="773">
        <v>3111</v>
      </c>
      <c r="B76" s="772">
        <v>5139</v>
      </c>
      <c r="C76" s="785" t="s">
        <v>625</v>
      </c>
      <c r="D76" s="784"/>
      <c r="E76" s="784">
        <v>50000</v>
      </c>
      <c r="F76" s="784">
        <v>232473.4</v>
      </c>
      <c r="G76" s="784">
        <f>235000-F76</f>
        <v>2526.6000000000058</v>
      </c>
      <c r="H76" s="784">
        <f t="shared" si="13"/>
        <v>235000</v>
      </c>
      <c r="I76" s="802">
        <v>0</v>
      </c>
      <c r="J76" s="810"/>
      <c r="K76" s="802"/>
      <c r="L76" s="802"/>
      <c r="M76" s="825"/>
      <c r="N76" s="825"/>
      <c r="O76" s="825"/>
      <c r="P76" s="863"/>
    </row>
    <row r="77" spans="1:16">
      <c r="A77" s="773">
        <v>3111</v>
      </c>
      <c r="B77" s="772">
        <v>5153</v>
      </c>
      <c r="C77" s="785" t="s">
        <v>626</v>
      </c>
      <c r="D77" s="784"/>
      <c r="E77" s="784"/>
      <c r="F77" s="784">
        <v>16000</v>
      </c>
      <c r="G77" s="784">
        <f>20000-F77</f>
        <v>4000</v>
      </c>
      <c r="H77" s="784">
        <f t="shared" si="13"/>
        <v>20000</v>
      </c>
      <c r="I77" s="802">
        <v>0</v>
      </c>
      <c r="J77" s="810"/>
      <c r="K77" s="802"/>
      <c r="L77" s="802"/>
      <c r="M77" s="825"/>
      <c r="N77" s="825"/>
      <c r="O77" s="825"/>
      <c r="P77" s="863"/>
    </row>
    <row r="78" spans="1:16">
      <c r="A78" s="773">
        <v>3111</v>
      </c>
      <c r="B78" s="772">
        <v>5169</v>
      </c>
      <c r="C78" s="785" t="s">
        <v>627</v>
      </c>
      <c r="D78" s="784"/>
      <c r="E78" s="784">
        <v>50000</v>
      </c>
      <c r="F78" s="784">
        <v>40465.4</v>
      </c>
      <c r="G78" s="784">
        <f t="shared" si="12"/>
        <v>9534.5999999999985</v>
      </c>
      <c r="H78" s="784">
        <f t="shared" si="13"/>
        <v>50000</v>
      </c>
      <c r="I78" s="802">
        <v>0</v>
      </c>
      <c r="J78" s="810"/>
      <c r="K78" s="802"/>
      <c r="L78" s="802"/>
      <c r="M78" s="825"/>
      <c r="N78" s="825"/>
      <c r="O78" s="825"/>
      <c r="P78" s="863"/>
    </row>
    <row r="79" spans="1:16">
      <c r="A79" s="773">
        <v>3111</v>
      </c>
      <c r="B79" s="772">
        <v>5175</v>
      </c>
      <c r="C79" s="785" t="s">
        <v>628</v>
      </c>
      <c r="D79" s="784"/>
      <c r="E79" s="784"/>
      <c r="F79" s="784">
        <v>8959.75</v>
      </c>
      <c r="G79" s="784">
        <f>10000-F79</f>
        <v>1040.25</v>
      </c>
      <c r="H79" s="784">
        <f t="shared" si="13"/>
        <v>10000</v>
      </c>
      <c r="I79" s="802">
        <v>0</v>
      </c>
      <c r="J79" s="810"/>
      <c r="K79" s="802"/>
      <c r="L79" s="802"/>
      <c r="M79" s="825"/>
      <c r="N79" s="825"/>
      <c r="O79" s="825"/>
      <c r="P79" s="863"/>
    </row>
    <row r="80" spans="1:16">
      <c r="A80" s="773">
        <v>3111</v>
      </c>
      <c r="B80" s="821">
        <v>5154</v>
      </c>
      <c r="C80" s="785" t="s">
        <v>629</v>
      </c>
      <c r="D80" s="784"/>
      <c r="E80" s="784"/>
      <c r="F80" s="784"/>
      <c r="G80" s="784"/>
      <c r="H80" s="784"/>
      <c r="I80" s="802"/>
      <c r="J80" s="811"/>
      <c r="K80" s="802">
        <v>15870</v>
      </c>
      <c r="L80" s="802"/>
      <c r="M80" s="825"/>
      <c r="N80" s="825"/>
      <c r="O80" s="825"/>
      <c r="P80" s="863"/>
    </row>
    <row r="81" spans="1:16">
      <c r="A81" s="773">
        <v>3111</v>
      </c>
      <c r="B81" s="821">
        <v>5162</v>
      </c>
      <c r="C81" s="785" t="s">
        <v>630</v>
      </c>
      <c r="D81" s="784"/>
      <c r="E81" s="784"/>
      <c r="F81" s="784"/>
      <c r="G81" s="784"/>
      <c r="H81" s="784"/>
      <c r="I81" s="802"/>
      <c r="J81" s="811"/>
      <c r="K81" s="802">
        <v>11437</v>
      </c>
      <c r="L81" s="802">
        <v>30000</v>
      </c>
      <c r="M81" s="825">
        <v>40000</v>
      </c>
      <c r="N81" s="825">
        <v>40000</v>
      </c>
      <c r="O81" s="825">
        <v>40000</v>
      </c>
      <c r="P81" s="863">
        <v>40000</v>
      </c>
    </row>
    <row r="82" spans="1:16">
      <c r="A82" s="773">
        <v>3111</v>
      </c>
      <c r="B82" s="772">
        <v>5331</v>
      </c>
      <c r="C82" s="785" t="s">
        <v>631</v>
      </c>
      <c r="D82" s="784"/>
      <c r="E82" s="784">
        <v>499200</v>
      </c>
      <c r="F82" s="784"/>
      <c r="G82" s="784">
        <f t="shared" si="12"/>
        <v>499200</v>
      </c>
      <c r="H82" s="784">
        <f t="shared" si="13"/>
        <v>499200</v>
      </c>
      <c r="I82" s="802">
        <f>1300*96*12</f>
        <v>1497600</v>
      </c>
      <c r="J82" s="810"/>
      <c r="K82" s="802">
        <v>1123200</v>
      </c>
      <c r="L82" s="802">
        <v>956700</v>
      </c>
      <c r="M82" s="825">
        <v>956700</v>
      </c>
      <c r="N82" s="825">
        <v>1313700</v>
      </c>
      <c r="O82" s="825">
        <v>1313700</v>
      </c>
      <c r="P82" s="863">
        <v>1474000</v>
      </c>
    </row>
    <row r="83" spans="1:16">
      <c r="A83" s="836">
        <v>3111</v>
      </c>
      <c r="B83" s="837">
        <v>6121</v>
      </c>
      <c r="C83" s="838" t="s">
        <v>632</v>
      </c>
      <c r="D83" s="839">
        <f>20000000+10000000</f>
        <v>30000000</v>
      </c>
      <c r="E83" s="839">
        <v>26500000</v>
      </c>
      <c r="F83" s="839">
        <v>24569003.579999998</v>
      </c>
      <c r="G83" s="839">
        <v>0</v>
      </c>
      <c r="H83" s="839">
        <f t="shared" si="13"/>
        <v>24569003.579999998</v>
      </c>
      <c r="I83" s="840" t="e">
        <f>#REF!</f>
        <v>#REF!</v>
      </c>
      <c r="J83" s="846"/>
      <c r="K83" s="840"/>
      <c r="L83" s="840">
        <v>0</v>
      </c>
      <c r="M83" s="845"/>
      <c r="N83" s="845"/>
      <c r="O83" s="845"/>
      <c r="P83" s="901">
        <v>600000</v>
      </c>
    </row>
    <row r="84" spans="1:16">
      <c r="A84" s="773">
        <v>3113</v>
      </c>
      <c r="B84" s="772">
        <v>5169</v>
      </c>
      <c r="C84" s="785" t="s">
        <v>634</v>
      </c>
      <c r="D84" s="784"/>
      <c r="E84" s="784"/>
      <c r="F84" s="784"/>
      <c r="G84" s="784"/>
      <c r="H84" s="784"/>
      <c r="I84" s="802"/>
      <c r="J84" s="810"/>
      <c r="K84" s="802"/>
      <c r="L84" s="802"/>
      <c r="M84" s="825">
        <v>600000</v>
      </c>
      <c r="N84" s="825"/>
      <c r="O84" s="825">
        <v>40000</v>
      </c>
      <c r="P84" s="863"/>
    </row>
    <row r="85" spans="1:16">
      <c r="A85" s="892">
        <v>3113</v>
      </c>
      <c r="B85" s="893">
        <v>6121</v>
      </c>
      <c r="C85" s="894" t="s">
        <v>635</v>
      </c>
      <c r="D85" s="895"/>
      <c r="E85" s="895"/>
      <c r="F85" s="895"/>
      <c r="G85" s="895"/>
      <c r="H85" s="895"/>
      <c r="I85" s="896"/>
      <c r="J85" s="905"/>
      <c r="K85" s="896"/>
      <c r="L85" s="896"/>
      <c r="M85" s="898"/>
      <c r="N85" s="898">
        <v>300000</v>
      </c>
      <c r="O85" s="890"/>
      <c r="P85" s="891"/>
    </row>
    <row r="86" spans="1:16">
      <c r="A86" s="836">
        <v>3113</v>
      </c>
      <c r="B86" s="837">
        <v>6351</v>
      </c>
      <c r="C86" s="838" t="s">
        <v>636</v>
      </c>
      <c r="D86" s="839">
        <v>2000000</v>
      </c>
      <c r="E86" s="839">
        <v>2000000</v>
      </c>
      <c r="F86" s="839"/>
      <c r="G86" s="839" t="e">
        <f>#REF!</f>
        <v>#REF!</v>
      </c>
      <c r="H86" s="839" t="e">
        <f t="shared" si="13"/>
        <v>#REF!</v>
      </c>
      <c r="I86" s="840" t="e">
        <f>#REF!</f>
        <v>#REF!</v>
      </c>
      <c r="J86" s="846"/>
      <c r="K86" s="840">
        <v>60355</v>
      </c>
      <c r="L86" s="840">
        <v>600000</v>
      </c>
      <c r="M86" s="842">
        <v>1500000</v>
      </c>
      <c r="N86" s="842">
        <v>3100000</v>
      </c>
      <c r="O86" s="842">
        <v>500000</v>
      </c>
      <c r="P86" s="901">
        <v>1000000</v>
      </c>
    </row>
    <row r="87" spans="1:16">
      <c r="A87" s="773">
        <v>3326</v>
      </c>
      <c r="B87" s="772">
        <v>5171</v>
      </c>
      <c r="C87" s="785" t="s">
        <v>638</v>
      </c>
      <c r="D87" s="784"/>
      <c r="E87" s="784"/>
      <c r="F87" s="784"/>
      <c r="G87" s="784"/>
      <c r="H87" s="784"/>
      <c r="I87" s="802"/>
      <c r="J87" s="810"/>
      <c r="K87" s="802"/>
      <c r="L87" s="802"/>
      <c r="M87" s="825"/>
      <c r="N87" s="825"/>
      <c r="O87" s="825"/>
      <c r="P87" s="863">
        <v>300000</v>
      </c>
    </row>
    <row r="88" spans="1:16">
      <c r="A88" s="773">
        <v>3399</v>
      </c>
      <c r="B88" s="772">
        <v>5139</v>
      </c>
      <c r="C88" s="785" t="s">
        <v>639</v>
      </c>
      <c r="D88" s="784">
        <v>40000</v>
      </c>
      <c r="E88" s="784">
        <v>40000</v>
      </c>
      <c r="F88" s="784"/>
      <c r="G88" s="784">
        <f t="shared" si="12"/>
        <v>40000</v>
      </c>
      <c r="H88" s="784">
        <f t="shared" si="13"/>
        <v>40000</v>
      </c>
      <c r="I88" s="802">
        <f t="shared" ref="I88:I99" si="15">H88</f>
        <v>40000</v>
      </c>
      <c r="J88" s="810"/>
      <c r="K88" s="802"/>
      <c r="L88" s="802">
        <v>40000</v>
      </c>
      <c r="M88" s="825">
        <v>20000</v>
      </c>
      <c r="N88" s="825">
        <v>40000</v>
      </c>
      <c r="O88" s="825">
        <v>40000</v>
      </c>
      <c r="P88" s="863">
        <v>40000</v>
      </c>
    </row>
    <row r="89" spans="1:16">
      <c r="A89" s="773">
        <v>3399</v>
      </c>
      <c r="B89" s="772">
        <v>5169</v>
      </c>
      <c r="C89" s="785" t="s">
        <v>640</v>
      </c>
      <c r="D89" s="784">
        <v>20000</v>
      </c>
      <c r="E89" s="784">
        <v>20000</v>
      </c>
      <c r="F89" s="784">
        <v>32166</v>
      </c>
      <c r="G89" s="784">
        <v>0</v>
      </c>
      <c r="H89" s="784">
        <f t="shared" si="13"/>
        <v>32166</v>
      </c>
      <c r="I89" s="802">
        <f t="shared" si="15"/>
        <v>32166</v>
      </c>
      <c r="J89" s="810"/>
      <c r="K89" s="802">
        <v>64530</v>
      </c>
      <c r="L89" s="802">
        <v>65000</v>
      </c>
      <c r="M89" s="825">
        <v>65000</v>
      </c>
      <c r="N89" s="825">
        <v>65000</v>
      </c>
      <c r="O89" s="825">
        <v>140000</v>
      </c>
      <c r="P89" s="863">
        <v>140000</v>
      </c>
    </row>
    <row r="90" spans="1:16">
      <c r="A90" s="773">
        <v>3399</v>
      </c>
      <c r="B90" s="772">
        <v>5175</v>
      </c>
      <c r="C90" s="785" t="s">
        <v>641</v>
      </c>
      <c r="D90" s="784">
        <v>100000</v>
      </c>
      <c r="E90" s="784">
        <v>100000</v>
      </c>
      <c r="F90" s="784">
        <v>50556</v>
      </c>
      <c r="G90" s="784">
        <f t="shared" si="12"/>
        <v>49444</v>
      </c>
      <c r="H90" s="784">
        <f t="shared" si="13"/>
        <v>100000</v>
      </c>
      <c r="I90" s="802">
        <f t="shared" si="15"/>
        <v>100000</v>
      </c>
      <c r="J90" s="810"/>
      <c r="K90" s="802">
        <v>45610</v>
      </c>
      <c r="L90" s="802">
        <v>100000</v>
      </c>
      <c r="M90" s="825">
        <v>80000</v>
      </c>
      <c r="N90" s="825">
        <v>100000</v>
      </c>
      <c r="O90" s="825">
        <v>30000</v>
      </c>
      <c r="P90" s="863">
        <v>50000</v>
      </c>
    </row>
    <row r="91" spans="1:16">
      <c r="A91" s="773">
        <v>3399</v>
      </c>
      <c r="B91" s="772">
        <v>5194</v>
      </c>
      <c r="C91" s="785" t="s">
        <v>642</v>
      </c>
      <c r="D91" s="784">
        <v>15000</v>
      </c>
      <c r="E91" s="784">
        <v>15000</v>
      </c>
      <c r="F91" s="784">
        <v>14779</v>
      </c>
      <c r="G91" s="784">
        <f t="shared" si="12"/>
        <v>221</v>
      </c>
      <c r="H91" s="784">
        <f t="shared" si="13"/>
        <v>15000</v>
      </c>
      <c r="I91" s="802">
        <f t="shared" si="15"/>
        <v>15000</v>
      </c>
      <c r="J91" s="810"/>
      <c r="K91" s="802">
        <v>20000</v>
      </c>
      <c r="L91" s="802">
        <v>20000</v>
      </c>
      <c r="M91" s="825">
        <v>70000</v>
      </c>
      <c r="N91" s="825">
        <v>40000</v>
      </c>
      <c r="O91" s="825">
        <v>40000</v>
      </c>
      <c r="P91" s="863">
        <v>40000</v>
      </c>
    </row>
    <row r="92" spans="1:16">
      <c r="A92" s="773">
        <v>3421</v>
      </c>
      <c r="B92" s="772">
        <v>5139</v>
      </c>
      <c r="C92" s="785" t="s">
        <v>643</v>
      </c>
      <c r="D92" s="784"/>
      <c r="E92" s="784"/>
      <c r="F92" s="784">
        <v>890</v>
      </c>
      <c r="G92" s="784">
        <v>0</v>
      </c>
      <c r="H92" s="784">
        <f t="shared" si="13"/>
        <v>890</v>
      </c>
      <c r="I92" s="802">
        <f t="shared" si="15"/>
        <v>890</v>
      </c>
      <c r="J92" s="810"/>
      <c r="K92" s="802"/>
      <c r="L92" s="802"/>
      <c r="M92" s="825">
        <v>5000</v>
      </c>
      <c r="N92" s="825">
        <v>5000</v>
      </c>
      <c r="O92" s="825"/>
      <c r="P92" s="863"/>
    </row>
    <row r="93" spans="1:16">
      <c r="A93" s="773">
        <v>3421</v>
      </c>
      <c r="B93" s="772">
        <v>5169</v>
      </c>
      <c r="C93" s="785" t="s">
        <v>644</v>
      </c>
      <c r="D93" s="784">
        <v>5000</v>
      </c>
      <c r="E93" s="784">
        <v>265000</v>
      </c>
      <c r="F93" s="784"/>
      <c r="G93" s="784">
        <v>25000</v>
      </c>
      <c r="H93" s="784">
        <f t="shared" si="13"/>
        <v>25000</v>
      </c>
      <c r="I93" s="802">
        <f t="shared" si="15"/>
        <v>25000</v>
      </c>
      <c r="J93" s="810"/>
      <c r="K93" s="802"/>
      <c r="L93" s="802">
        <v>25000</v>
      </c>
      <c r="M93" s="825">
        <v>25000</v>
      </c>
      <c r="N93" s="825">
        <v>25000</v>
      </c>
      <c r="O93" s="825">
        <v>25000</v>
      </c>
      <c r="P93" s="863">
        <v>25000</v>
      </c>
    </row>
    <row r="94" spans="1:16">
      <c r="A94" s="836">
        <v>3412</v>
      </c>
      <c r="B94" s="837">
        <v>6121</v>
      </c>
      <c r="C94" s="838" t="s">
        <v>645</v>
      </c>
      <c r="D94" s="839"/>
      <c r="E94" s="839"/>
      <c r="F94" s="839"/>
      <c r="G94" s="839"/>
      <c r="H94" s="839"/>
      <c r="I94" s="840"/>
      <c r="J94" s="841"/>
      <c r="K94" s="840"/>
      <c r="L94" s="840">
        <v>3000000</v>
      </c>
      <c r="M94" s="842"/>
      <c r="N94" s="842"/>
      <c r="O94" s="842">
        <v>450000</v>
      </c>
      <c r="P94" s="901">
        <v>10000000</v>
      </c>
    </row>
    <row r="95" spans="1:16">
      <c r="A95" s="836">
        <v>3412</v>
      </c>
      <c r="B95" s="837">
        <v>6122</v>
      </c>
      <c r="C95" s="838" t="s">
        <v>647</v>
      </c>
      <c r="D95" s="839"/>
      <c r="E95" s="839"/>
      <c r="F95" s="839"/>
      <c r="G95" s="839" t="e">
        <f>#REF!</f>
        <v>#REF!</v>
      </c>
      <c r="H95" s="839" t="e">
        <f t="shared" si="13"/>
        <v>#REF!</v>
      </c>
      <c r="I95" s="840" t="e">
        <f>#REF!</f>
        <v>#REF!</v>
      </c>
      <c r="J95" s="841"/>
      <c r="K95" s="840"/>
      <c r="L95" s="840">
        <v>4000000</v>
      </c>
      <c r="M95" s="842">
        <v>430000</v>
      </c>
      <c r="N95" s="842">
        <v>650000</v>
      </c>
      <c r="O95" s="842">
        <v>500000</v>
      </c>
      <c r="P95" s="901">
        <v>1250000</v>
      </c>
    </row>
    <row r="96" spans="1:16">
      <c r="A96" s="773">
        <v>3613</v>
      </c>
      <c r="B96" s="772">
        <v>5171</v>
      </c>
      <c r="C96" s="785" t="s">
        <v>649</v>
      </c>
      <c r="D96" s="784">
        <v>10000</v>
      </c>
      <c r="E96" s="784">
        <v>400000</v>
      </c>
      <c r="F96" s="784">
        <v>229711</v>
      </c>
      <c r="G96" s="784">
        <f t="shared" si="12"/>
        <v>170289</v>
      </c>
      <c r="H96" s="784">
        <f t="shared" si="13"/>
        <v>400000</v>
      </c>
      <c r="I96" s="802">
        <f t="shared" si="15"/>
        <v>400000</v>
      </c>
      <c r="J96" s="810"/>
      <c r="K96" s="802">
        <v>236110</v>
      </c>
      <c r="L96" s="802">
        <v>200000</v>
      </c>
      <c r="M96" s="825"/>
      <c r="N96" s="825">
        <v>150000</v>
      </c>
      <c r="O96" s="825"/>
      <c r="P96" s="863"/>
    </row>
    <row r="97" spans="1:16">
      <c r="A97" s="836">
        <v>3613</v>
      </c>
      <c r="B97" s="837">
        <v>6121</v>
      </c>
      <c r="C97" s="838" t="s">
        <v>650</v>
      </c>
      <c r="D97" s="839"/>
      <c r="E97" s="839"/>
      <c r="F97" s="839"/>
      <c r="G97" s="839"/>
      <c r="H97" s="839"/>
      <c r="I97" s="840"/>
      <c r="J97" s="841"/>
      <c r="K97" s="840"/>
      <c r="L97" s="840"/>
      <c r="M97" s="842"/>
      <c r="N97" s="842"/>
      <c r="O97" s="842"/>
      <c r="P97" s="901">
        <v>4000000</v>
      </c>
    </row>
    <row r="98" spans="1:16">
      <c r="A98" s="773">
        <v>3631</v>
      </c>
      <c r="B98" s="772">
        <v>5154</v>
      </c>
      <c r="C98" s="785" t="s">
        <v>651</v>
      </c>
      <c r="D98" s="784">
        <v>350000</v>
      </c>
      <c r="E98" s="784">
        <v>350000</v>
      </c>
      <c r="F98" s="784">
        <v>389002</v>
      </c>
      <c r="G98" s="784">
        <v>0</v>
      </c>
      <c r="H98" s="784">
        <f t="shared" si="13"/>
        <v>389002</v>
      </c>
      <c r="I98" s="802">
        <f t="shared" si="15"/>
        <v>389002</v>
      </c>
      <c r="J98" s="810"/>
      <c r="K98" s="802">
        <v>392293</v>
      </c>
      <c r="L98" s="802">
        <v>450000</v>
      </c>
      <c r="M98" s="825">
        <v>600000</v>
      </c>
      <c r="N98" s="825">
        <v>650000</v>
      </c>
      <c r="O98" s="825">
        <v>600000</v>
      </c>
      <c r="P98" s="863">
        <v>1000000</v>
      </c>
    </row>
    <row r="99" spans="1:16">
      <c r="A99" s="773">
        <v>3631</v>
      </c>
      <c r="B99" s="772">
        <v>5171</v>
      </c>
      <c r="C99" s="785" t="s">
        <v>652</v>
      </c>
      <c r="D99" s="784">
        <v>200000</v>
      </c>
      <c r="E99" s="784">
        <v>200000</v>
      </c>
      <c r="F99" s="784">
        <v>121840</v>
      </c>
      <c r="G99" s="784">
        <f t="shared" ref="G99:G131" si="16">E99-F99</f>
        <v>78160</v>
      </c>
      <c r="H99" s="784">
        <f t="shared" si="13"/>
        <v>200000</v>
      </c>
      <c r="I99" s="802">
        <f t="shared" si="15"/>
        <v>200000</v>
      </c>
      <c r="J99" s="810"/>
      <c r="K99" s="802">
        <v>200800</v>
      </c>
      <c r="L99" s="802">
        <v>230000</v>
      </c>
      <c r="M99" s="825">
        <v>200000</v>
      </c>
      <c r="N99" s="825">
        <v>200000</v>
      </c>
      <c r="O99" s="825">
        <v>250000</v>
      </c>
      <c r="P99" s="863">
        <v>2000000</v>
      </c>
    </row>
    <row r="100" spans="1:16">
      <c r="A100" s="836">
        <v>3631</v>
      </c>
      <c r="B100" s="837">
        <v>6121</v>
      </c>
      <c r="C100" s="838" t="s">
        <v>654</v>
      </c>
      <c r="D100" s="839">
        <v>300000</v>
      </c>
      <c r="E100" s="839">
        <v>300000</v>
      </c>
      <c r="F100" s="839"/>
      <c r="G100" s="839">
        <v>0</v>
      </c>
      <c r="H100" s="839">
        <f t="shared" si="13"/>
        <v>0</v>
      </c>
      <c r="I100" s="840" t="e">
        <f>#REF!</f>
        <v>#REF!</v>
      </c>
      <c r="J100" s="841"/>
      <c r="K100" s="840">
        <v>1236834</v>
      </c>
      <c r="L100" s="840">
        <v>0</v>
      </c>
      <c r="M100" s="845"/>
      <c r="N100" s="842">
        <v>5600000</v>
      </c>
      <c r="O100" s="845"/>
      <c r="P100" s="901">
        <v>5600000</v>
      </c>
    </row>
    <row r="101" spans="1:16">
      <c r="A101" s="773">
        <v>3635</v>
      </c>
      <c r="B101" s="772">
        <v>5169</v>
      </c>
      <c r="C101" s="785" t="s">
        <v>656</v>
      </c>
      <c r="D101" s="784"/>
      <c r="E101" s="784">
        <v>120000</v>
      </c>
      <c r="F101" s="784">
        <v>115705</v>
      </c>
      <c r="G101" s="784">
        <f t="shared" si="16"/>
        <v>4295</v>
      </c>
      <c r="H101" s="784">
        <f t="shared" si="13"/>
        <v>120000</v>
      </c>
      <c r="I101" s="802">
        <f>H101</f>
        <v>120000</v>
      </c>
      <c r="J101" s="810"/>
      <c r="K101" s="802">
        <v>148830</v>
      </c>
      <c r="L101" s="802">
        <v>120000</v>
      </c>
      <c r="M101" s="825">
        <v>50000</v>
      </c>
      <c r="N101" s="825">
        <v>50000</v>
      </c>
      <c r="O101" s="825"/>
      <c r="P101" s="863">
        <v>300000</v>
      </c>
    </row>
    <row r="102" spans="1:16">
      <c r="A102" s="773">
        <v>3639</v>
      </c>
      <c r="B102" s="772">
        <v>5169</v>
      </c>
      <c r="C102" s="785" t="s">
        <v>657</v>
      </c>
      <c r="D102" s="784">
        <v>50000</v>
      </c>
      <c r="E102" s="784">
        <v>1316000</v>
      </c>
      <c r="F102" s="784">
        <v>256950</v>
      </c>
      <c r="G102" s="784">
        <f t="shared" si="16"/>
        <v>1059050</v>
      </c>
      <c r="H102" s="784">
        <f t="shared" si="13"/>
        <v>1316000</v>
      </c>
      <c r="I102" s="802">
        <f>H102-700000</f>
        <v>616000</v>
      </c>
      <c r="J102" s="812"/>
      <c r="K102" s="802">
        <v>72480</v>
      </c>
      <c r="L102" s="802">
        <v>200000</v>
      </c>
      <c r="M102" s="825">
        <v>450000</v>
      </c>
      <c r="N102" s="825">
        <v>200000</v>
      </c>
      <c r="O102" s="825">
        <v>250000</v>
      </c>
      <c r="P102" s="863">
        <v>250000</v>
      </c>
    </row>
    <row r="103" spans="1:16" ht="14" thickBot="1">
      <c r="A103" s="836">
        <v>3639</v>
      </c>
      <c r="B103" s="837">
        <v>6122</v>
      </c>
      <c r="C103" s="838" t="s">
        <v>658</v>
      </c>
      <c r="D103" s="839"/>
      <c r="E103" s="839"/>
      <c r="F103" s="839"/>
      <c r="G103" s="839"/>
      <c r="H103" s="839"/>
      <c r="I103" s="840"/>
      <c r="J103" s="841"/>
      <c r="K103" s="840"/>
      <c r="L103" s="848"/>
      <c r="M103" s="842"/>
      <c r="N103" s="842"/>
      <c r="O103" s="842"/>
      <c r="P103" s="901">
        <v>200000</v>
      </c>
    </row>
    <row r="104" spans="1:16" ht="14" thickBot="1">
      <c r="A104" s="836">
        <v>3639</v>
      </c>
      <c r="B104" s="837">
        <v>6121</v>
      </c>
      <c r="C104" s="838" t="s">
        <v>660</v>
      </c>
      <c r="D104" s="839"/>
      <c r="E104" s="839"/>
      <c r="F104" s="839"/>
      <c r="G104" s="839" t="e">
        <f>#REF!</f>
        <v>#REF!</v>
      </c>
      <c r="H104" s="839" t="e">
        <f t="shared" si="13"/>
        <v>#REF!</v>
      </c>
      <c r="I104" s="840"/>
      <c r="J104" s="846"/>
      <c r="K104" s="840"/>
      <c r="L104" s="824" t="e">
        <f>#REF!</f>
        <v>#REF!</v>
      </c>
      <c r="M104" s="845"/>
      <c r="N104" s="845"/>
      <c r="O104" s="842">
        <v>105000</v>
      </c>
      <c r="P104" s="901">
        <v>6000000</v>
      </c>
    </row>
    <row r="105" spans="1:16">
      <c r="A105" s="836">
        <v>3639</v>
      </c>
      <c r="B105" s="837">
        <v>6130</v>
      </c>
      <c r="C105" s="838" t="s">
        <v>661</v>
      </c>
      <c r="D105" s="839"/>
      <c r="E105" s="839"/>
      <c r="F105" s="839"/>
      <c r="G105" s="839"/>
      <c r="H105" s="839"/>
      <c r="I105" s="840"/>
      <c r="J105" s="846"/>
      <c r="K105" s="840">
        <v>1010000</v>
      </c>
      <c r="L105" s="840"/>
      <c r="M105" s="845"/>
      <c r="N105" s="842">
        <v>2000000</v>
      </c>
      <c r="O105" s="842">
        <v>2510000</v>
      </c>
      <c r="P105" s="901">
        <v>10000000</v>
      </c>
    </row>
    <row r="106" spans="1:16">
      <c r="A106" s="773">
        <v>3721</v>
      </c>
      <c r="B106" s="772">
        <v>5169</v>
      </c>
      <c r="C106" s="785" t="s">
        <v>663</v>
      </c>
      <c r="D106" s="784"/>
      <c r="E106" s="784"/>
      <c r="F106" s="784"/>
      <c r="G106" s="784"/>
      <c r="H106" s="784"/>
      <c r="I106" s="802"/>
      <c r="J106" s="810"/>
      <c r="K106" s="802"/>
      <c r="L106" s="802"/>
      <c r="M106" s="825">
        <v>20000</v>
      </c>
      <c r="N106" s="825">
        <v>20000</v>
      </c>
      <c r="O106" s="825">
        <v>40000</v>
      </c>
      <c r="P106" s="863">
        <v>50000</v>
      </c>
    </row>
    <row r="107" spans="1:16">
      <c r="A107" s="773">
        <v>3722</v>
      </c>
      <c r="B107" s="772">
        <v>5169</v>
      </c>
      <c r="C107" s="785" t="s">
        <v>664</v>
      </c>
      <c r="D107" s="784">
        <v>1000000</v>
      </c>
      <c r="E107" s="784">
        <v>1000000</v>
      </c>
      <c r="F107" s="784">
        <v>841076.69</v>
      </c>
      <c r="G107" s="784">
        <f t="shared" si="16"/>
        <v>158923.31000000006</v>
      </c>
      <c r="H107" s="784">
        <f t="shared" si="13"/>
        <v>1000000</v>
      </c>
      <c r="I107" s="802">
        <f>H107+200000</f>
        <v>1200000</v>
      </c>
      <c r="J107" s="810"/>
      <c r="K107" s="802">
        <v>869397</v>
      </c>
      <c r="L107" s="802">
        <v>1320000</v>
      </c>
      <c r="M107" s="825">
        <v>1300000</v>
      </c>
      <c r="N107" s="825">
        <v>1400000</v>
      </c>
      <c r="O107" s="825">
        <v>1700000</v>
      </c>
      <c r="P107" s="863">
        <v>2300000</v>
      </c>
    </row>
    <row r="108" spans="1:16">
      <c r="A108" s="773">
        <v>3725</v>
      </c>
      <c r="B108" s="772">
        <v>5169</v>
      </c>
      <c r="C108" s="785" t="s">
        <v>665</v>
      </c>
      <c r="D108" s="784">
        <v>750000</v>
      </c>
      <c r="E108" s="784">
        <v>750000</v>
      </c>
      <c r="F108" s="784">
        <v>480203.2</v>
      </c>
      <c r="G108" s="784">
        <f t="shared" si="16"/>
        <v>269796.8</v>
      </c>
      <c r="H108" s="784">
        <f t="shared" si="13"/>
        <v>750000</v>
      </c>
      <c r="I108" s="802">
        <f>H108+100000</f>
        <v>850000</v>
      </c>
      <c r="J108" s="810"/>
      <c r="K108" s="802">
        <v>625633</v>
      </c>
      <c r="L108" s="802">
        <v>935000</v>
      </c>
      <c r="M108" s="825">
        <v>900000</v>
      </c>
      <c r="N108" s="825">
        <v>1100000</v>
      </c>
      <c r="O108" s="825">
        <v>1100000</v>
      </c>
      <c r="P108" s="863">
        <v>1500000</v>
      </c>
    </row>
    <row r="109" spans="1:16">
      <c r="A109" s="773">
        <v>3726</v>
      </c>
      <c r="B109" s="772">
        <v>5169</v>
      </c>
      <c r="C109" s="785" t="s">
        <v>666</v>
      </c>
      <c r="D109" s="784">
        <v>260000</v>
      </c>
      <c r="E109" s="784">
        <v>260000</v>
      </c>
      <c r="F109" s="784">
        <v>88985.3</v>
      </c>
      <c r="G109" s="784">
        <f t="shared" si="16"/>
        <v>171014.7</v>
      </c>
      <c r="H109" s="784">
        <f t="shared" si="13"/>
        <v>260000</v>
      </c>
      <c r="I109" s="802">
        <f t="shared" ref="I109:I114" si="17">H109</f>
        <v>260000</v>
      </c>
      <c r="J109" s="810"/>
      <c r="K109" s="802">
        <v>169942</v>
      </c>
      <c r="L109" s="802">
        <v>260000</v>
      </c>
      <c r="M109" s="825">
        <v>260000</v>
      </c>
      <c r="N109" s="825">
        <v>330000</v>
      </c>
      <c r="O109" s="825">
        <v>400000</v>
      </c>
      <c r="P109" s="863">
        <v>500000</v>
      </c>
    </row>
    <row r="110" spans="1:16">
      <c r="A110" s="773">
        <v>3729</v>
      </c>
      <c r="B110" s="772">
        <v>5169</v>
      </c>
      <c r="C110" s="785" t="s">
        <v>667</v>
      </c>
      <c r="D110" s="784">
        <v>90000</v>
      </c>
      <c r="E110" s="784">
        <v>90000</v>
      </c>
      <c r="F110" s="784">
        <v>64725.53</v>
      </c>
      <c r="G110" s="784">
        <f t="shared" si="16"/>
        <v>25274.47</v>
      </c>
      <c r="H110" s="784">
        <f t="shared" si="13"/>
        <v>90000</v>
      </c>
      <c r="I110" s="802">
        <f t="shared" si="17"/>
        <v>90000</v>
      </c>
      <c r="J110" s="810"/>
      <c r="K110" s="802">
        <v>79582</v>
      </c>
      <c r="L110" s="802">
        <v>120000</v>
      </c>
      <c r="M110" s="825">
        <v>80000</v>
      </c>
      <c r="N110" s="825">
        <v>130000</v>
      </c>
      <c r="O110" s="825">
        <v>130000</v>
      </c>
      <c r="P110" s="863">
        <v>150000</v>
      </c>
    </row>
    <row r="111" spans="1:16">
      <c r="A111" s="773">
        <v>3745</v>
      </c>
      <c r="B111" s="772">
        <v>5137</v>
      </c>
      <c r="C111" s="785" t="s">
        <v>668</v>
      </c>
      <c r="D111" s="784"/>
      <c r="E111" s="784"/>
      <c r="F111" s="784">
        <v>35398</v>
      </c>
      <c r="G111" s="784">
        <v>0</v>
      </c>
      <c r="H111" s="784">
        <f t="shared" si="13"/>
        <v>35398</v>
      </c>
      <c r="I111" s="802">
        <f t="shared" si="17"/>
        <v>35398</v>
      </c>
      <c r="J111" s="810"/>
      <c r="K111" s="802">
        <v>39188</v>
      </c>
      <c r="L111" s="802"/>
      <c r="M111" s="825"/>
      <c r="N111" s="825"/>
      <c r="O111" s="825">
        <v>101000</v>
      </c>
      <c r="P111" s="863">
        <v>150000</v>
      </c>
    </row>
    <row r="112" spans="1:16">
      <c r="A112" s="773">
        <v>3745</v>
      </c>
      <c r="B112" s="772">
        <v>5139</v>
      </c>
      <c r="C112" s="785" t="s">
        <v>669</v>
      </c>
      <c r="D112" s="784">
        <v>50000</v>
      </c>
      <c r="E112" s="784">
        <v>50000</v>
      </c>
      <c r="F112" s="784">
        <v>82029.990000000005</v>
      </c>
      <c r="G112" s="784">
        <v>0</v>
      </c>
      <c r="H112" s="784">
        <f t="shared" si="13"/>
        <v>82029.990000000005</v>
      </c>
      <c r="I112" s="802">
        <f t="shared" si="17"/>
        <v>82029.990000000005</v>
      </c>
      <c r="J112" s="810"/>
      <c r="K112" s="802">
        <v>48372</v>
      </c>
      <c r="L112" s="802">
        <v>80000</v>
      </c>
      <c r="M112" s="825">
        <v>30000</v>
      </c>
      <c r="N112" s="825">
        <v>50000</v>
      </c>
      <c r="O112" s="825">
        <v>70000</v>
      </c>
      <c r="P112" s="863">
        <v>80000</v>
      </c>
    </row>
    <row r="113" spans="1:16">
      <c r="A113" s="773">
        <v>3745</v>
      </c>
      <c r="B113" s="772">
        <v>5156</v>
      </c>
      <c r="C113" s="785" t="s">
        <v>670</v>
      </c>
      <c r="D113" s="784">
        <v>50000</v>
      </c>
      <c r="E113" s="784">
        <v>50000</v>
      </c>
      <c r="F113" s="784">
        <v>36848</v>
      </c>
      <c r="G113" s="784">
        <f t="shared" si="16"/>
        <v>13152</v>
      </c>
      <c r="H113" s="784">
        <f t="shared" si="13"/>
        <v>50000</v>
      </c>
      <c r="I113" s="802">
        <f t="shared" si="17"/>
        <v>50000</v>
      </c>
      <c r="J113" s="810"/>
      <c r="K113" s="802">
        <v>45873</v>
      </c>
      <c r="L113" s="802">
        <v>50000</v>
      </c>
      <c r="M113" s="825">
        <v>90000</v>
      </c>
      <c r="N113" s="825">
        <v>90000</v>
      </c>
      <c r="O113" s="825">
        <v>90000</v>
      </c>
      <c r="P113" s="863">
        <v>90000</v>
      </c>
    </row>
    <row r="114" spans="1:16">
      <c r="A114" s="773">
        <v>3745</v>
      </c>
      <c r="B114" s="772">
        <v>5169</v>
      </c>
      <c r="C114" s="785" t="s">
        <v>648</v>
      </c>
      <c r="D114" s="784"/>
      <c r="E114" s="784">
        <v>130000</v>
      </c>
      <c r="F114" s="784">
        <v>900</v>
      </c>
      <c r="G114" s="784">
        <f t="shared" si="16"/>
        <v>129100</v>
      </c>
      <c r="H114" s="784">
        <f t="shared" si="13"/>
        <v>130000</v>
      </c>
      <c r="I114" s="802">
        <f t="shared" si="17"/>
        <v>130000</v>
      </c>
      <c r="J114" s="810"/>
      <c r="K114" s="802">
        <v>189196</v>
      </c>
      <c r="L114" s="802"/>
      <c r="M114" s="825"/>
      <c r="N114" s="825">
        <v>900000</v>
      </c>
      <c r="O114" s="825">
        <v>400000</v>
      </c>
      <c r="P114" s="863">
        <v>500000</v>
      </c>
    </row>
    <row r="115" spans="1:16">
      <c r="A115" s="773">
        <v>3745</v>
      </c>
      <c r="B115" s="799">
        <v>5171</v>
      </c>
      <c r="C115" s="785" t="s">
        <v>671</v>
      </c>
      <c r="D115" s="784"/>
      <c r="E115" s="784"/>
      <c r="F115" s="784"/>
      <c r="G115" s="784" t="e">
        <f>#REF!</f>
        <v>#REF!</v>
      </c>
      <c r="H115" s="784" t="e">
        <f>G115+F115</f>
        <v>#REF!</v>
      </c>
      <c r="I115" s="802" t="e">
        <f>#REF!</f>
        <v>#REF!</v>
      </c>
      <c r="J115" s="810"/>
      <c r="K115" s="802"/>
      <c r="L115" s="802" t="e">
        <f>#REF!</f>
        <v>#REF!</v>
      </c>
      <c r="M115" s="825"/>
      <c r="N115" s="825">
        <v>765000</v>
      </c>
      <c r="O115" s="825">
        <v>500000</v>
      </c>
      <c r="P115" s="863">
        <v>700000</v>
      </c>
    </row>
    <row r="116" spans="1:16">
      <c r="A116" s="836">
        <v>3745</v>
      </c>
      <c r="B116" s="837">
        <v>6121</v>
      </c>
      <c r="C116" s="838" t="s">
        <v>672</v>
      </c>
      <c r="D116" s="839">
        <v>50000</v>
      </c>
      <c r="E116" s="839">
        <v>50000</v>
      </c>
      <c r="F116" s="839"/>
      <c r="G116" s="839" t="e">
        <f>#REF!</f>
        <v>#REF!</v>
      </c>
      <c r="H116" s="839" t="e">
        <f t="shared" ref="H116:H165" si="18">G116+F116</f>
        <v>#REF!</v>
      </c>
      <c r="I116" s="840" t="e">
        <f>#REF!</f>
        <v>#REF!</v>
      </c>
      <c r="J116" s="847">
        <v>-2000000</v>
      </c>
      <c r="K116" s="840"/>
      <c r="L116" s="840">
        <v>1111000</v>
      </c>
      <c r="M116" s="845"/>
      <c r="N116" s="845"/>
      <c r="O116" s="845"/>
      <c r="P116" s="901">
        <v>1080000</v>
      </c>
    </row>
    <row r="117" spans="1:16">
      <c r="A117" s="836">
        <v>3745</v>
      </c>
      <c r="B117" s="837">
        <v>6122</v>
      </c>
      <c r="C117" s="838" t="s">
        <v>674</v>
      </c>
      <c r="D117" s="839">
        <v>600000</v>
      </c>
      <c r="E117" s="839">
        <v>300000</v>
      </c>
      <c r="F117" s="839"/>
      <c r="G117" s="839" t="e">
        <f>#REF!</f>
        <v>#REF!</v>
      </c>
      <c r="H117" s="839" t="e">
        <f t="shared" si="18"/>
        <v>#REF!</v>
      </c>
      <c r="I117" s="840" t="e">
        <f>#REF!</f>
        <v>#REF!</v>
      </c>
      <c r="J117" s="841"/>
      <c r="K117" s="840"/>
      <c r="L117" s="840"/>
      <c r="M117" s="845"/>
      <c r="N117" s="845"/>
      <c r="O117" s="845"/>
      <c r="P117" s="983">
        <v>250000</v>
      </c>
    </row>
    <row r="118" spans="1:16" s="120" customFormat="1">
      <c r="A118" s="773">
        <v>4349</v>
      </c>
      <c r="B118" s="772">
        <v>5169</v>
      </c>
      <c r="C118" s="785" t="s">
        <v>1214</v>
      </c>
      <c r="D118" s="784"/>
      <c r="E118" s="784"/>
      <c r="F118" s="784"/>
      <c r="G118" s="784"/>
      <c r="H118" s="784"/>
      <c r="I118" s="802"/>
      <c r="J118" s="810"/>
      <c r="K118" s="802"/>
      <c r="L118" s="802"/>
      <c r="M118" s="825"/>
      <c r="N118" s="825"/>
      <c r="O118" s="825">
        <v>100000</v>
      </c>
      <c r="P118" s="863">
        <v>100000</v>
      </c>
    </row>
    <row r="119" spans="1:16">
      <c r="A119" s="773">
        <v>5299</v>
      </c>
      <c r="B119" s="772">
        <v>5139</v>
      </c>
      <c r="C119" s="785" t="s">
        <v>643</v>
      </c>
      <c r="D119" s="784"/>
      <c r="E119" s="784">
        <v>20000</v>
      </c>
      <c r="F119" s="784">
        <v>6670</v>
      </c>
      <c r="G119" s="784">
        <f t="shared" si="16"/>
        <v>13330</v>
      </c>
      <c r="H119" s="784">
        <f t="shared" si="18"/>
        <v>20000</v>
      </c>
      <c r="I119" s="802">
        <f t="shared" ref="I119:I125" si="19">H119</f>
        <v>20000</v>
      </c>
      <c r="J119" s="810"/>
      <c r="K119" s="802">
        <v>8409</v>
      </c>
      <c r="L119" s="802">
        <v>10000</v>
      </c>
      <c r="M119" s="825">
        <v>10000</v>
      </c>
      <c r="N119" s="825">
        <v>10000</v>
      </c>
      <c r="O119" s="825"/>
      <c r="P119" s="863">
        <v>10000</v>
      </c>
    </row>
    <row r="120" spans="1:16">
      <c r="A120" s="773">
        <v>5512</v>
      </c>
      <c r="B120" s="772">
        <v>5137</v>
      </c>
      <c r="C120" s="785" t="s">
        <v>676</v>
      </c>
      <c r="D120" s="784">
        <v>30000</v>
      </c>
      <c r="E120" s="784">
        <v>30000</v>
      </c>
      <c r="F120" s="784"/>
      <c r="G120" s="784">
        <f t="shared" si="16"/>
        <v>30000</v>
      </c>
      <c r="H120" s="784">
        <f t="shared" si="18"/>
        <v>30000</v>
      </c>
      <c r="I120" s="802">
        <f t="shared" si="19"/>
        <v>30000</v>
      </c>
      <c r="J120" s="810"/>
      <c r="K120" s="802"/>
      <c r="L120" s="802">
        <v>15000</v>
      </c>
      <c r="M120" s="825"/>
      <c r="N120" s="825">
        <v>20000</v>
      </c>
      <c r="O120" s="825">
        <v>652800</v>
      </c>
      <c r="P120" s="863">
        <v>300000</v>
      </c>
    </row>
    <row r="121" spans="1:16">
      <c r="A121" s="773">
        <v>5512</v>
      </c>
      <c r="B121" s="772">
        <v>5139</v>
      </c>
      <c r="C121" s="785" t="s">
        <v>677</v>
      </c>
      <c r="D121" s="784">
        <v>5000</v>
      </c>
      <c r="E121" s="784">
        <v>5000</v>
      </c>
      <c r="F121" s="784">
        <v>3948</v>
      </c>
      <c r="G121" s="784">
        <f t="shared" si="16"/>
        <v>1052</v>
      </c>
      <c r="H121" s="784">
        <f t="shared" si="18"/>
        <v>5000</v>
      </c>
      <c r="I121" s="802">
        <f t="shared" si="19"/>
        <v>5000</v>
      </c>
      <c r="J121" s="810"/>
      <c r="K121" s="802"/>
      <c r="L121" s="802">
        <v>5000</v>
      </c>
      <c r="M121" s="825">
        <v>20000</v>
      </c>
      <c r="N121" s="825">
        <v>20000</v>
      </c>
      <c r="O121" s="825">
        <v>5000</v>
      </c>
      <c r="P121" s="863">
        <v>20000</v>
      </c>
    </row>
    <row r="122" spans="1:16">
      <c r="A122" s="773">
        <v>5512</v>
      </c>
      <c r="B122" s="772">
        <v>5156</v>
      </c>
      <c r="C122" s="785" t="s">
        <v>678</v>
      </c>
      <c r="D122" s="784">
        <v>2000</v>
      </c>
      <c r="E122" s="784">
        <v>2000</v>
      </c>
      <c r="F122" s="784">
        <v>1150</v>
      </c>
      <c r="G122" s="784">
        <f t="shared" si="16"/>
        <v>850</v>
      </c>
      <c r="H122" s="784">
        <f t="shared" si="18"/>
        <v>2000</v>
      </c>
      <c r="I122" s="802">
        <f t="shared" si="19"/>
        <v>2000</v>
      </c>
      <c r="J122" s="810"/>
      <c r="K122" s="802">
        <v>2062</v>
      </c>
      <c r="L122" s="802">
        <v>2000</v>
      </c>
      <c r="M122" s="825">
        <v>6000</v>
      </c>
      <c r="N122" s="825">
        <v>5000</v>
      </c>
      <c r="O122" s="825">
        <v>5000</v>
      </c>
      <c r="P122" s="863">
        <v>6000</v>
      </c>
    </row>
    <row r="123" spans="1:16">
      <c r="A123" s="773">
        <v>5512</v>
      </c>
      <c r="B123" s="772">
        <v>5163</v>
      </c>
      <c r="C123" s="785" t="s">
        <v>679</v>
      </c>
      <c r="D123" s="784">
        <v>2400</v>
      </c>
      <c r="E123" s="784">
        <v>2400</v>
      </c>
      <c r="F123" s="784">
        <v>2329</v>
      </c>
      <c r="G123" s="784">
        <f t="shared" si="16"/>
        <v>71</v>
      </c>
      <c r="H123" s="784">
        <f t="shared" si="18"/>
        <v>2400</v>
      </c>
      <c r="I123" s="802">
        <f t="shared" si="19"/>
        <v>2400</v>
      </c>
      <c r="J123" s="810"/>
      <c r="K123" s="802">
        <v>2329</v>
      </c>
      <c r="L123" s="802">
        <v>2400</v>
      </c>
      <c r="M123" s="825">
        <v>2400</v>
      </c>
      <c r="N123" s="825">
        <v>2400</v>
      </c>
      <c r="O123" s="825">
        <v>2400</v>
      </c>
      <c r="P123" s="863">
        <v>3000</v>
      </c>
    </row>
    <row r="124" spans="1:16">
      <c r="A124" s="773">
        <v>5512</v>
      </c>
      <c r="B124" s="772">
        <v>5167</v>
      </c>
      <c r="C124" s="785" t="s">
        <v>680</v>
      </c>
      <c r="D124" s="784">
        <v>5000</v>
      </c>
      <c r="E124" s="784">
        <v>5000</v>
      </c>
      <c r="F124" s="784"/>
      <c r="G124" s="784">
        <f t="shared" si="16"/>
        <v>5000</v>
      </c>
      <c r="H124" s="784">
        <f t="shared" si="18"/>
        <v>5000</v>
      </c>
      <c r="I124" s="802">
        <f t="shared" si="19"/>
        <v>5000</v>
      </c>
      <c r="J124" s="810"/>
      <c r="K124" s="802"/>
      <c r="L124" s="802">
        <v>5000</v>
      </c>
      <c r="M124" s="825"/>
      <c r="N124" s="825">
        <v>5000</v>
      </c>
      <c r="O124" s="825"/>
      <c r="P124" s="863">
        <v>30000</v>
      </c>
    </row>
    <row r="125" spans="1:16">
      <c r="A125" s="773">
        <v>5512</v>
      </c>
      <c r="B125" s="772">
        <v>5171</v>
      </c>
      <c r="C125" s="785" t="s">
        <v>681</v>
      </c>
      <c r="D125" s="784">
        <v>5000</v>
      </c>
      <c r="E125" s="784">
        <v>5000</v>
      </c>
      <c r="F125" s="784"/>
      <c r="G125" s="784">
        <f t="shared" si="16"/>
        <v>5000</v>
      </c>
      <c r="H125" s="784">
        <f t="shared" si="18"/>
        <v>5000</v>
      </c>
      <c r="I125" s="802">
        <f t="shared" si="19"/>
        <v>5000</v>
      </c>
      <c r="J125" s="810"/>
      <c r="K125" s="802">
        <v>3422</v>
      </c>
      <c r="L125" s="802">
        <v>5000</v>
      </c>
      <c r="M125" s="825">
        <v>25000</v>
      </c>
      <c r="N125" s="825">
        <v>20000</v>
      </c>
      <c r="O125" s="825"/>
      <c r="P125" s="863">
        <v>50000</v>
      </c>
    </row>
    <row r="126" spans="1:16">
      <c r="A126" s="773">
        <v>5512</v>
      </c>
      <c r="B126" s="772">
        <v>5222</v>
      </c>
      <c r="C126" s="785" t="s">
        <v>682</v>
      </c>
      <c r="D126" s="784"/>
      <c r="E126" s="784"/>
      <c r="F126" s="784"/>
      <c r="G126" s="784"/>
      <c r="H126" s="784"/>
      <c r="I126" s="802"/>
      <c r="J126" s="810"/>
      <c r="K126" s="802"/>
      <c r="L126" s="802"/>
      <c r="M126" s="825"/>
      <c r="N126" s="825"/>
      <c r="O126" s="825">
        <v>20000</v>
      </c>
      <c r="P126" s="863">
        <v>40000</v>
      </c>
    </row>
    <row r="127" spans="1:16">
      <c r="A127" s="836">
        <v>5512</v>
      </c>
      <c r="B127" s="837">
        <v>6121</v>
      </c>
      <c r="C127" s="838" t="s">
        <v>683</v>
      </c>
      <c r="D127" s="839"/>
      <c r="E127" s="839"/>
      <c r="F127" s="839"/>
      <c r="G127" s="839" t="e">
        <f>#REF!</f>
        <v>#REF!</v>
      </c>
      <c r="H127" s="839" t="e">
        <f t="shared" si="18"/>
        <v>#REF!</v>
      </c>
      <c r="I127" s="840" t="e">
        <f>#REF!</f>
        <v>#REF!</v>
      </c>
      <c r="J127" s="841"/>
      <c r="K127" s="840"/>
      <c r="L127" s="840"/>
      <c r="M127" s="842"/>
      <c r="N127" s="842"/>
      <c r="O127" s="842"/>
      <c r="P127" s="901">
        <v>500000</v>
      </c>
    </row>
    <row r="128" spans="1:16">
      <c r="A128" s="773">
        <v>6112</v>
      </c>
      <c r="B128" s="772">
        <v>5023</v>
      </c>
      <c r="C128" s="785" t="s">
        <v>685</v>
      </c>
      <c r="D128" s="784">
        <f>1400000+150000</f>
        <v>1550000</v>
      </c>
      <c r="E128" s="784">
        <v>1550000</v>
      </c>
      <c r="F128" s="784">
        <v>1149263</v>
      </c>
      <c r="G128" s="784">
        <f t="shared" si="16"/>
        <v>400737</v>
      </c>
      <c r="H128" s="784">
        <f t="shared" si="18"/>
        <v>1550000</v>
      </c>
      <c r="I128" s="802">
        <f t="shared" ref="I128:I154" si="20">H128</f>
        <v>1550000</v>
      </c>
      <c r="J128" s="810"/>
      <c r="K128" s="802">
        <v>1267163</v>
      </c>
      <c r="L128" s="802">
        <v>1550000</v>
      </c>
      <c r="M128" s="825">
        <v>1800000</v>
      </c>
      <c r="N128" s="825">
        <v>1760000</v>
      </c>
      <c r="O128" s="825">
        <v>1760000</v>
      </c>
      <c r="P128" s="863">
        <v>2100000</v>
      </c>
    </row>
    <row r="129" spans="1:16">
      <c r="A129" s="773">
        <v>6112</v>
      </c>
      <c r="B129" s="772">
        <v>5026</v>
      </c>
      <c r="C129" s="785" t="s">
        <v>687</v>
      </c>
      <c r="D129" s="784"/>
      <c r="E129" s="784"/>
      <c r="F129" s="784"/>
      <c r="G129" s="784"/>
      <c r="H129" s="784"/>
      <c r="I129" s="802"/>
      <c r="J129" s="810"/>
      <c r="K129" s="802"/>
      <c r="L129" s="802"/>
      <c r="M129" s="825"/>
      <c r="N129" s="825"/>
      <c r="O129" s="825">
        <v>340000</v>
      </c>
      <c r="P129" s="863"/>
    </row>
    <row r="130" spans="1:16">
      <c r="A130" s="773">
        <v>6112</v>
      </c>
      <c r="B130" s="772">
        <v>5031</v>
      </c>
      <c r="C130" s="785" t="s">
        <v>688</v>
      </c>
      <c r="D130" s="784">
        <v>270000</v>
      </c>
      <c r="E130" s="784">
        <v>270000</v>
      </c>
      <c r="F130" s="784">
        <v>222151</v>
      </c>
      <c r="G130" s="784">
        <f t="shared" si="16"/>
        <v>47849</v>
      </c>
      <c r="H130" s="784">
        <f t="shared" si="18"/>
        <v>270000</v>
      </c>
      <c r="I130" s="802">
        <f t="shared" si="20"/>
        <v>270000</v>
      </c>
      <c r="J130" s="810"/>
      <c r="K130" s="802">
        <v>252558</v>
      </c>
      <c r="L130" s="802">
        <v>270000</v>
      </c>
      <c r="M130" s="825">
        <v>300000</v>
      </c>
      <c r="N130" s="825">
        <v>330000</v>
      </c>
      <c r="O130" s="825">
        <v>250000</v>
      </c>
      <c r="P130" s="863"/>
    </row>
    <row r="131" spans="1:16">
      <c r="A131" s="773">
        <v>6112</v>
      </c>
      <c r="B131" s="772">
        <v>5032</v>
      </c>
      <c r="C131" s="785" t="s">
        <v>689</v>
      </c>
      <c r="D131" s="784">
        <v>125000</v>
      </c>
      <c r="E131" s="784">
        <v>125000</v>
      </c>
      <c r="F131" s="784">
        <v>100555</v>
      </c>
      <c r="G131" s="784">
        <f t="shared" si="16"/>
        <v>24445</v>
      </c>
      <c r="H131" s="784">
        <f t="shared" si="18"/>
        <v>125000</v>
      </c>
      <c r="I131" s="802">
        <f t="shared" si="20"/>
        <v>125000</v>
      </c>
      <c r="J131" s="810"/>
      <c r="K131" s="802">
        <v>115047</v>
      </c>
      <c r="L131" s="802">
        <v>125000</v>
      </c>
      <c r="M131" s="825">
        <v>150000</v>
      </c>
      <c r="N131" s="825">
        <v>165000</v>
      </c>
      <c r="O131" s="825">
        <v>165000</v>
      </c>
      <c r="P131" s="863">
        <v>190000</v>
      </c>
    </row>
    <row r="132" spans="1:16">
      <c r="A132" s="773" t="s">
        <v>690</v>
      </c>
      <c r="B132" s="772">
        <v>5021</v>
      </c>
      <c r="C132" s="785" t="s">
        <v>691</v>
      </c>
      <c r="D132" s="784"/>
      <c r="E132" s="784"/>
      <c r="F132" s="784">
        <v>8851.15</v>
      </c>
      <c r="G132" s="784">
        <v>0</v>
      </c>
      <c r="H132" s="784">
        <f t="shared" si="18"/>
        <v>8851.15</v>
      </c>
      <c r="I132" s="802">
        <f t="shared" si="20"/>
        <v>8851.15</v>
      </c>
      <c r="J132" s="810">
        <v>-8851</v>
      </c>
      <c r="K132" s="802"/>
      <c r="L132" s="802"/>
      <c r="M132" s="825"/>
      <c r="N132" s="825"/>
      <c r="O132" s="825">
        <f>8929+35504</f>
        <v>44433</v>
      </c>
      <c r="P132" s="863"/>
    </row>
    <row r="133" spans="1:16">
      <c r="A133" s="773" t="s">
        <v>690</v>
      </c>
      <c r="B133" s="772">
        <v>5175</v>
      </c>
      <c r="C133" s="785" t="s">
        <v>692</v>
      </c>
      <c r="D133" s="784"/>
      <c r="E133" s="784"/>
      <c r="F133" s="784"/>
      <c r="G133" s="784"/>
      <c r="H133" s="784"/>
      <c r="I133" s="802"/>
      <c r="J133" s="810"/>
      <c r="K133" s="802"/>
      <c r="L133" s="802"/>
      <c r="M133" s="825"/>
      <c r="N133" s="825"/>
      <c r="O133" s="825">
        <f>1266+3096</f>
        <v>4362</v>
      </c>
      <c r="P133" s="863"/>
    </row>
    <row r="134" spans="1:16">
      <c r="A134" s="773">
        <v>6171</v>
      </c>
      <c r="B134" s="772">
        <v>5011</v>
      </c>
      <c r="C134" s="785" t="s">
        <v>693</v>
      </c>
      <c r="D134" s="784">
        <v>400000</v>
      </c>
      <c r="E134" s="784">
        <v>700000</v>
      </c>
      <c r="F134" s="784">
        <v>582730</v>
      </c>
      <c r="G134" s="784">
        <f t="shared" ref="G134:G165" si="21">E134-F134</f>
        <v>117270</v>
      </c>
      <c r="H134" s="784">
        <f t="shared" si="18"/>
        <v>700000</v>
      </c>
      <c r="I134" s="802">
        <f t="shared" si="20"/>
        <v>700000</v>
      </c>
      <c r="J134" s="810"/>
      <c r="K134" s="802">
        <v>679093</v>
      </c>
      <c r="L134" s="802">
        <v>750000</v>
      </c>
      <c r="M134" s="825">
        <v>900000</v>
      </c>
      <c r="N134" s="825">
        <v>1000000</v>
      </c>
      <c r="O134" s="825">
        <v>1100000</v>
      </c>
      <c r="P134" s="863">
        <v>2500000</v>
      </c>
    </row>
    <row r="135" spans="1:16">
      <c r="A135" s="773">
        <v>6171</v>
      </c>
      <c r="B135" s="772">
        <v>5021</v>
      </c>
      <c r="C135" s="785" t="s">
        <v>694</v>
      </c>
      <c r="D135" s="784">
        <v>60000</v>
      </c>
      <c r="E135" s="784">
        <v>60000</v>
      </c>
      <c r="F135" s="784">
        <v>36445</v>
      </c>
      <c r="G135" s="784">
        <f t="shared" si="21"/>
        <v>23555</v>
      </c>
      <c r="H135" s="784">
        <f t="shared" si="18"/>
        <v>60000</v>
      </c>
      <c r="I135" s="802">
        <f t="shared" si="20"/>
        <v>60000</v>
      </c>
      <c r="J135" s="810"/>
      <c r="K135" s="802">
        <v>70573</v>
      </c>
      <c r="L135" s="802">
        <v>90000</v>
      </c>
      <c r="M135" s="825">
        <v>120000</v>
      </c>
      <c r="N135" s="825">
        <v>120000</v>
      </c>
      <c r="O135" s="825">
        <v>200000</v>
      </c>
      <c r="P135" s="863">
        <v>220000</v>
      </c>
    </row>
    <row r="136" spans="1:16">
      <c r="A136" s="773">
        <v>6171</v>
      </c>
      <c r="B136" s="772">
        <v>5031</v>
      </c>
      <c r="C136" s="785" t="s">
        <v>695</v>
      </c>
      <c r="D136" s="784">
        <v>120000</v>
      </c>
      <c r="E136" s="784">
        <v>120000</v>
      </c>
      <c r="F136" s="784">
        <v>144340</v>
      </c>
      <c r="G136" s="784">
        <f>0.25*G134</f>
        <v>29317.5</v>
      </c>
      <c r="H136" s="784">
        <f t="shared" si="18"/>
        <v>173657.5</v>
      </c>
      <c r="I136" s="802">
        <f t="shared" si="20"/>
        <v>173657.5</v>
      </c>
      <c r="J136" s="810"/>
      <c r="K136" s="802">
        <v>180934</v>
      </c>
      <c r="L136" s="802">
        <v>200000</v>
      </c>
      <c r="M136" s="825">
        <v>250000</v>
      </c>
      <c r="N136" s="825">
        <v>250000</v>
      </c>
      <c r="O136" s="825">
        <v>300000</v>
      </c>
      <c r="P136" s="863">
        <v>620000</v>
      </c>
    </row>
    <row r="137" spans="1:16">
      <c r="A137" s="773">
        <v>6171</v>
      </c>
      <c r="B137" s="772">
        <v>5032</v>
      </c>
      <c r="C137" s="785" t="s">
        <v>696</v>
      </c>
      <c r="D137" s="784">
        <v>40000</v>
      </c>
      <c r="E137" s="784">
        <v>40000</v>
      </c>
      <c r="F137" s="784">
        <v>52351</v>
      </c>
      <c r="G137" s="784">
        <f>0.1*G134</f>
        <v>11727</v>
      </c>
      <c r="H137" s="784">
        <f t="shared" si="18"/>
        <v>64078</v>
      </c>
      <c r="I137" s="802">
        <f t="shared" si="20"/>
        <v>64078</v>
      </c>
      <c r="J137" s="810"/>
      <c r="K137" s="802">
        <v>65662</v>
      </c>
      <c r="L137" s="802">
        <v>80000</v>
      </c>
      <c r="M137" s="825">
        <v>90000</v>
      </c>
      <c r="N137" s="825">
        <v>125000</v>
      </c>
      <c r="O137" s="825">
        <v>125000</v>
      </c>
      <c r="P137" s="863">
        <v>225000</v>
      </c>
    </row>
    <row r="138" spans="1:16">
      <c r="A138" s="773">
        <v>6171</v>
      </c>
      <c r="B138" s="772">
        <v>5038</v>
      </c>
      <c r="C138" s="785" t="s">
        <v>697</v>
      </c>
      <c r="D138" s="784">
        <v>1000</v>
      </c>
      <c r="E138" s="784">
        <v>1000</v>
      </c>
      <c r="F138" s="784">
        <v>279</v>
      </c>
      <c r="G138" s="784">
        <f t="shared" si="21"/>
        <v>721</v>
      </c>
      <c r="H138" s="784">
        <f t="shared" si="18"/>
        <v>1000</v>
      </c>
      <c r="I138" s="802">
        <f t="shared" si="20"/>
        <v>1000</v>
      </c>
      <c r="J138" s="810"/>
      <c r="K138" s="802">
        <v>473</v>
      </c>
      <c r="L138" s="802">
        <v>1000</v>
      </c>
      <c r="M138" s="825">
        <v>1000</v>
      </c>
      <c r="N138" s="825">
        <v>1000</v>
      </c>
      <c r="O138" s="825">
        <v>1000</v>
      </c>
      <c r="P138" s="863">
        <v>5000</v>
      </c>
    </row>
    <row r="139" spans="1:16">
      <c r="A139" s="773">
        <v>6171</v>
      </c>
      <c r="B139" s="772">
        <v>5137</v>
      </c>
      <c r="C139" s="785" t="s">
        <v>698</v>
      </c>
      <c r="D139" s="784">
        <v>20000</v>
      </c>
      <c r="E139" s="784">
        <v>45000</v>
      </c>
      <c r="F139" s="784">
        <v>41317.78</v>
      </c>
      <c r="G139" s="784">
        <f t="shared" si="21"/>
        <v>3682.2200000000012</v>
      </c>
      <c r="H139" s="784">
        <f t="shared" si="18"/>
        <v>45000</v>
      </c>
      <c r="I139" s="802">
        <f t="shared" si="20"/>
        <v>45000</v>
      </c>
      <c r="J139" s="810"/>
      <c r="K139" s="802"/>
      <c r="L139" s="802"/>
      <c r="M139" s="825"/>
      <c r="N139" s="825">
        <v>100000</v>
      </c>
      <c r="O139" s="825">
        <v>100000</v>
      </c>
      <c r="P139" s="863">
        <v>100000</v>
      </c>
    </row>
    <row r="140" spans="1:16">
      <c r="A140" s="773">
        <v>6171</v>
      </c>
      <c r="B140" s="772">
        <v>5139</v>
      </c>
      <c r="C140" s="785" t="s">
        <v>699</v>
      </c>
      <c r="D140" s="784">
        <v>45000</v>
      </c>
      <c r="E140" s="784">
        <v>85000</v>
      </c>
      <c r="F140" s="784">
        <v>98068.03</v>
      </c>
      <c r="G140" s="784">
        <f>100000-F140</f>
        <v>1931.9700000000012</v>
      </c>
      <c r="H140" s="784">
        <f t="shared" si="18"/>
        <v>100000</v>
      </c>
      <c r="I140" s="802">
        <f t="shared" si="20"/>
        <v>100000</v>
      </c>
      <c r="J140" s="810"/>
      <c r="K140" s="802">
        <v>101131</v>
      </c>
      <c r="L140" s="802">
        <v>110000</v>
      </c>
      <c r="M140" s="825">
        <v>50000</v>
      </c>
      <c r="N140" s="825">
        <v>100000</v>
      </c>
      <c r="O140" s="825">
        <v>130000</v>
      </c>
      <c r="P140" s="863">
        <v>150000</v>
      </c>
    </row>
    <row r="141" spans="1:16">
      <c r="A141" s="773">
        <v>6171</v>
      </c>
      <c r="B141" s="772">
        <v>5151</v>
      </c>
      <c r="C141" s="785" t="s">
        <v>700</v>
      </c>
      <c r="D141" s="784">
        <v>1000</v>
      </c>
      <c r="E141" s="784">
        <v>1600</v>
      </c>
      <c r="F141" s="784">
        <v>1327</v>
      </c>
      <c r="G141" s="784">
        <f t="shared" si="21"/>
        <v>273</v>
      </c>
      <c r="H141" s="784">
        <f t="shared" si="18"/>
        <v>1600</v>
      </c>
      <c r="I141" s="802">
        <f t="shared" si="20"/>
        <v>1600</v>
      </c>
      <c r="J141" s="810"/>
      <c r="K141" s="802"/>
      <c r="L141" s="802">
        <v>1600</v>
      </c>
      <c r="M141" s="825">
        <v>4000</v>
      </c>
      <c r="N141" s="825">
        <v>5000</v>
      </c>
      <c r="O141" s="825">
        <v>15000</v>
      </c>
      <c r="P141" s="863">
        <v>15000</v>
      </c>
    </row>
    <row r="142" spans="1:16">
      <c r="A142" s="773">
        <v>6171</v>
      </c>
      <c r="B142" s="772">
        <v>5153</v>
      </c>
      <c r="C142" s="785" t="s">
        <v>701</v>
      </c>
      <c r="D142" s="784">
        <v>40000</v>
      </c>
      <c r="E142" s="784">
        <v>40000</v>
      </c>
      <c r="F142" s="784">
        <v>31500</v>
      </c>
      <c r="G142" s="784">
        <f t="shared" si="21"/>
        <v>8500</v>
      </c>
      <c r="H142" s="784">
        <f t="shared" si="18"/>
        <v>40000</v>
      </c>
      <c r="I142" s="802">
        <f t="shared" si="20"/>
        <v>40000</v>
      </c>
      <c r="J142" s="810"/>
      <c r="K142" s="802">
        <v>30600</v>
      </c>
      <c r="L142" s="802">
        <v>40000</v>
      </c>
      <c r="M142" s="825">
        <v>40000</v>
      </c>
      <c r="N142" s="825">
        <v>40000</v>
      </c>
      <c r="O142" s="825">
        <v>50000</v>
      </c>
      <c r="P142" s="863">
        <v>50000</v>
      </c>
    </row>
    <row r="143" spans="1:16">
      <c r="A143" s="773">
        <v>6171</v>
      </c>
      <c r="B143" s="772">
        <v>5154</v>
      </c>
      <c r="C143" s="785" t="s">
        <v>702</v>
      </c>
      <c r="D143" s="784">
        <v>15000</v>
      </c>
      <c r="E143" s="784">
        <v>15000</v>
      </c>
      <c r="F143" s="784">
        <v>10640</v>
      </c>
      <c r="G143" s="784">
        <f t="shared" si="21"/>
        <v>4360</v>
      </c>
      <c r="H143" s="784">
        <f t="shared" si="18"/>
        <v>15000</v>
      </c>
      <c r="I143" s="802">
        <f t="shared" si="20"/>
        <v>15000</v>
      </c>
      <c r="J143" s="810"/>
      <c r="K143" s="802"/>
      <c r="L143" s="802">
        <v>15000</v>
      </c>
      <c r="M143" s="825">
        <v>60000</v>
      </c>
      <c r="N143" s="825">
        <v>80000</v>
      </c>
      <c r="O143" s="825">
        <v>60000</v>
      </c>
      <c r="P143" s="863">
        <v>60000</v>
      </c>
    </row>
    <row r="144" spans="1:16">
      <c r="A144" s="773">
        <v>6171</v>
      </c>
      <c r="B144" s="772">
        <v>5161</v>
      </c>
      <c r="C144" s="785" t="s">
        <v>703</v>
      </c>
      <c r="D144" s="784">
        <v>5000</v>
      </c>
      <c r="E144" s="784">
        <v>5000</v>
      </c>
      <c r="F144" s="784">
        <v>10071</v>
      </c>
      <c r="G144" s="784">
        <f>12000-F144</f>
        <v>1929</v>
      </c>
      <c r="H144" s="784">
        <f t="shared" si="18"/>
        <v>12000</v>
      </c>
      <c r="I144" s="802">
        <f t="shared" si="20"/>
        <v>12000</v>
      </c>
      <c r="J144" s="810"/>
      <c r="K144" s="802">
        <v>1718</v>
      </c>
      <c r="L144" s="802">
        <v>5000</v>
      </c>
      <c r="M144" s="825">
        <v>3000</v>
      </c>
      <c r="N144" s="825">
        <v>5000</v>
      </c>
      <c r="O144" s="825">
        <v>5000</v>
      </c>
      <c r="P144" s="863">
        <v>5000</v>
      </c>
    </row>
    <row r="145" spans="1:16">
      <c r="A145" s="773">
        <v>6171</v>
      </c>
      <c r="B145" s="772">
        <v>5162</v>
      </c>
      <c r="C145" s="785" t="s">
        <v>704</v>
      </c>
      <c r="D145" s="784">
        <v>25000</v>
      </c>
      <c r="E145" s="784">
        <v>25000</v>
      </c>
      <c r="F145" s="784">
        <v>19428.080000000002</v>
      </c>
      <c r="G145" s="784">
        <f t="shared" si="21"/>
        <v>5571.9199999999983</v>
      </c>
      <c r="H145" s="784">
        <f t="shared" si="18"/>
        <v>25000</v>
      </c>
      <c r="I145" s="802">
        <f t="shared" si="20"/>
        <v>25000</v>
      </c>
      <c r="J145" s="810"/>
      <c r="K145" s="802">
        <v>28542</v>
      </c>
      <c r="L145" s="802">
        <v>30000</v>
      </c>
      <c r="M145" s="825">
        <v>30000</v>
      </c>
      <c r="N145" s="825">
        <v>30000</v>
      </c>
      <c r="O145" s="825">
        <v>35000</v>
      </c>
      <c r="P145" s="863">
        <v>35000</v>
      </c>
    </row>
    <row r="146" spans="1:16">
      <c r="A146" s="773">
        <v>6171</v>
      </c>
      <c r="B146" s="772">
        <v>5163</v>
      </c>
      <c r="C146" s="785" t="s">
        <v>705</v>
      </c>
      <c r="D146" s="784">
        <v>30000</v>
      </c>
      <c r="E146" s="784">
        <v>30000</v>
      </c>
      <c r="F146" s="784">
        <v>23564.799999999999</v>
      </c>
      <c r="G146" s="784">
        <f t="shared" si="21"/>
        <v>6435.2000000000007</v>
      </c>
      <c r="H146" s="784">
        <f t="shared" si="18"/>
        <v>30000</v>
      </c>
      <c r="I146" s="802">
        <f t="shared" si="20"/>
        <v>30000</v>
      </c>
      <c r="J146" s="810"/>
      <c r="K146" s="802">
        <v>70124</v>
      </c>
      <c r="L146" s="802">
        <v>70500</v>
      </c>
      <c r="M146" s="825">
        <v>90000</v>
      </c>
      <c r="N146" s="825">
        <v>90000</v>
      </c>
      <c r="O146" s="825">
        <v>90000</v>
      </c>
      <c r="P146" s="863">
        <v>90000</v>
      </c>
    </row>
    <row r="147" spans="1:16">
      <c r="A147" s="773">
        <v>6171</v>
      </c>
      <c r="B147" s="772">
        <v>5166</v>
      </c>
      <c r="C147" s="785" t="s">
        <v>706</v>
      </c>
      <c r="D147" s="784">
        <v>100000</v>
      </c>
      <c r="E147" s="784">
        <v>100000</v>
      </c>
      <c r="F147" s="784">
        <v>25168</v>
      </c>
      <c r="G147" s="784">
        <f t="shared" si="21"/>
        <v>74832</v>
      </c>
      <c r="H147" s="784">
        <f t="shared" si="18"/>
        <v>100000</v>
      </c>
      <c r="I147" s="802">
        <f t="shared" si="20"/>
        <v>100000</v>
      </c>
      <c r="J147" s="810"/>
      <c r="K147" s="802">
        <v>44162</v>
      </c>
      <c r="L147" s="802">
        <v>100000</v>
      </c>
      <c r="M147" s="825">
        <v>450000</v>
      </c>
      <c r="N147" s="825">
        <v>200000</v>
      </c>
      <c r="O147" s="825">
        <v>400000</v>
      </c>
      <c r="P147" s="863">
        <v>1000000</v>
      </c>
    </row>
    <row r="148" spans="1:16">
      <c r="A148" s="773">
        <v>6171</v>
      </c>
      <c r="B148" s="772">
        <v>5167</v>
      </c>
      <c r="C148" s="785" t="s">
        <v>707</v>
      </c>
      <c r="D148" s="784">
        <v>5000</v>
      </c>
      <c r="E148" s="784">
        <v>5000</v>
      </c>
      <c r="F148" s="784">
        <v>1000</v>
      </c>
      <c r="G148" s="784">
        <f t="shared" si="21"/>
        <v>4000</v>
      </c>
      <c r="H148" s="784">
        <f t="shared" si="18"/>
        <v>5000</v>
      </c>
      <c r="I148" s="802">
        <f t="shared" si="20"/>
        <v>5000</v>
      </c>
      <c r="J148" s="810"/>
      <c r="K148" s="802">
        <v>800</v>
      </c>
      <c r="L148" s="802">
        <v>5000</v>
      </c>
      <c r="M148" s="825"/>
      <c r="N148" s="825">
        <v>5000</v>
      </c>
      <c r="O148" s="825"/>
      <c r="P148" s="863">
        <v>30000</v>
      </c>
    </row>
    <row r="149" spans="1:16">
      <c r="A149" s="773">
        <v>6171</v>
      </c>
      <c r="B149" s="772">
        <v>5168</v>
      </c>
      <c r="C149" s="785" t="s">
        <v>708</v>
      </c>
      <c r="D149" s="784">
        <v>230000</v>
      </c>
      <c r="E149" s="784">
        <v>230000</v>
      </c>
      <c r="F149" s="784">
        <v>208858.12</v>
      </c>
      <c r="G149" s="784">
        <f t="shared" si="21"/>
        <v>21141.880000000005</v>
      </c>
      <c r="H149" s="784">
        <f t="shared" si="18"/>
        <v>230000</v>
      </c>
      <c r="I149" s="802">
        <f t="shared" si="20"/>
        <v>230000</v>
      </c>
      <c r="J149" s="810"/>
      <c r="K149" s="802">
        <v>189141</v>
      </c>
      <c r="L149" s="802">
        <v>230000</v>
      </c>
      <c r="M149" s="825">
        <v>250000</v>
      </c>
      <c r="N149" s="825">
        <v>300000</v>
      </c>
      <c r="O149" s="825">
        <v>300000</v>
      </c>
      <c r="P149" s="863">
        <v>350000</v>
      </c>
    </row>
    <row r="150" spans="1:16">
      <c r="A150" s="773">
        <v>6171</v>
      </c>
      <c r="B150" s="772">
        <v>5169</v>
      </c>
      <c r="C150" s="785" t="s">
        <v>709</v>
      </c>
      <c r="D150" s="784">
        <v>70000</v>
      </c>
      <c r="E150" s="784">
        <v>70000</v>
      </c>
      <c r="F150" s="784">
        <v>18863.400000000001</v>
      </c>
      <c r="G150" s="784">
        <f t="shared" si="21"/>
        <v>51136.6</v>
      </c>
      <c r="H150" s="784">
        <f t="shared" si="18"/>
        <v>70000</v>
      </c>
      <c r="I150" s="802">
        <f t="shared" si="20"/>
        <v>70000</v>
      </c>
      <c r="J150" s="810"/>
      <c r="K150" s="802">
        <v>15578</v>
      </c>
      <c r="L150" s="802">
        <v>50000</v>
      </c>
      <c r="M150" s="825">
        <v>75000</v>
      </c>
      <c r="N150" s="825">
        <v>50000</v>
      </c>
      <c r="O150" s="825">
        <v>130000</v>
      </c>
      <c r="P150" s="863">
        <v>150000</v>
      </c>
    </row>
    <row r="151" spans="1:16">
      <c r="A151" s="773">
        <v>6171</v>
      </c>
      <c r="B151" s="772">
        <v>5171</v>
      </c>
      <c r="C151" s="785" t="s">
        <v>710</v>
      </c>
      <c r="D151" s="784">
        <v>50000</v>
      </c>
      <c r="E151" s="784">
        <v>350000</v>
      </c>
      <c r="F151" s="784">
        <v>34740.69</v>
      </c>
      <c r="G151" s="784">
        <f t="shared" si="21"/>
        <v>315259.31</v>
      </c>
      <c r="H151" s="784">
        <f t="shared" si="18"/>
        <v>350000</v>
      </c>
      <c r="I151" s="802">
        <f t="shared" si="20"/>
        <v>350000</v>
      </c>
      <c r="J151" s="810"/>
      <c r="K151" s="802">
        <v>178861</v>
      </c>
      <c r="L151" s="802">
        <v>200000</v>
      </c>
      <c r="M151" s="825">
        <v>40000</v>
      </c>
      <c r="N151" s="825">
        <v>100000</v>
      </c>
      <c r="O151" s="825">
        <v>5000</v>
      </c>
      <c r="P151" s="863">
        <v>50000</v>
      </c>
    </row>
    <row r="152" spans="1:16">
      <c r="A152" s="773">
        <v>6171</v>
      </c>
      <c r="B152" s="772">
        <v>5172</v>
      </c>
      <c r="C152" s="785" t="s">
        <v>711</v>
      </c>
      <c r="D152" s="784"/>
      <c r="E152" s="784"/>
      <c r="F152" s="784"/>
      <c r="G152" s="784"/>
      <c r="H152" s="784"/>
      <c r="I152" s="802"/>
      <c r="J152" s="810"/>
      <c r="K152" s="802"/>
      <c r="L152" s="802"/>
      <c r="M152" s="825"/>
      <c r="N152" s="825"/>
      <c r="O152" s="825">
        <v>31000</v>
      </c>
      <c r="P152" s="863">
        <v>50000</v>
      </c>
    </row>
    <row r="153" spans="1:16">
      <c r="A153" s="773">
        <v>6171</v>
      </c>
      <c r="B153" s="772">
        <v>5173</v>
      </c>
      <c r="C153" s="785" t="s">
        <v>712</v>
      </c>
      <c r="D153" s="784">
        <v>500</v>
      </c>
      <c r="E153" s="784">
        <v>500</v>
      </c>
      <c r="F153" s="784"/>
      <c r="G153" s="784">
        <f t="shared" si="21"/>
        <v>500</v>
      </c>
      <c r="H153" s="784">
        <f t="shared" si="18"/>
        <v>500</v>
      </c>
      <c r="I153" s="802">
        <f t="shared" si="20"/>
        <v>500</v>
      </c>
      <c r="J153" s="810"/>
      <c r="K153" s="802"/>
      <c r="L153" s="802">
        <v>500</v>
      </c>
      <c r="M153" s="825"/>
      <c r="N153" s="825"/>
      <c r="O153" s="825"/>
      <c r="P153" s="863">
        <v>10000</v>
      </c>
    </row>
    <row r="154" spans="1:16">
      <c r="A154" s="773">
        <v>6171</v>
      </c>
      <c r="B154" s="772">
        <v>5175</v>
      </c>
      <c r="C154" s="785" t="s">
        <v>713</v>
      </c>
      <c r="D154" s="784">
        <v>10000</v>
      </c>
      <c r="E154" s="784">
        <v>10000</v>
      </c>
      <c r="F154" s="784">
        <v>15750</v>
      </c>
      <c r="G154" s="784">
        <f>20000-F154</f>
        <v>4250</v>
      </c>
      <c r="H154" s="784">
        <f t="shared" si="18"/>
        <v>20000</v>
      </c>
      <c r="I154" s="802">
        <f t="shared" si="20"/>
        <v>20000</v>
      </c>
      <c r="J154" s="810"/>
      <c r="K154" s="802">
        <v>8033</v>
      </c>
      <c r="L154" s="802">
        <v>20000</v>
      </c>
      <c r="M154" s="825">
        <v>20000</v>
      </c>
      <c r="N154" s="825">
        <v>20000</v>
      </c>
      <c r="O154" s="825">
        <v>20000</v>
      </c>
      <c r="P154" s="863">
        <v>20000</v>
      </c>
    </row>
    <row r="155" spans="1:16">
      <c r="A155" s="773">
        <v>6171</v>
      </c>
      <c r="B155" s="772">
        <v>5229</v>
      </c>
      <c r="C155" s="785" t="s">
        <v>714</v>
      </c>
      <c r="D155" s="784">
        <v>150000</v>
      </c>
      <c r="E155" s="784">
        <v>150000</v>
      </c>
      <c r="F155" s="784">
        <v>10820</v>
      </c>
      <c r="G155" s="784">
        <f t="shared" si="21"/>
        <v>139180</v>
      </c>
      <c r="H155" s="784">
        <f t="shared" si="18"/>
        <v>150000</v>
      </c>
      <c r="I155" s="802">
        <f>H155</f>
        <v>150000</v>
      </c>
      <c r="J155" s="810"/>
      <c r="K155" s="802">
        <v>277586</v>
      </c>
      <c r="L155" s="802">
        <v>150000</v>
      </c>
      <c r="M155" s="825">
        <v>150000</v>
      </c>
      <c r="N155" s="825">
        <v>150000</v>
      </c>
      <c r="O155" s="825">
        <v>70000</v>
      </c>
      <c r="P155" s="863">
        <v>250000</v>
      </c>
    </row>
    <row r="156" spans="1:16">
      <c r="A156" s="773">
        <v>6171</v>
      </c>
      <c r="B156" s="772">
        <v>5321</v>
      </c>
      <c r="C156" s="785" t="s">
        <v>715</v>
      </c>
      <c r="D156" s="784">
        <v>100000</v>
      </c>
      <c r="E156" s="784">
        <v>100000</v>
      </c>
      <c r="F156" s="784">
        <v>52400</v>
      </c>
      <c r="G156" s="784">
        <f t="shared" si="21"/>
        <v>47600</v>
      </c>
      <c r="H156" s="784">
        <f t="shared" si="18"/>
        <v>100000</v>
      </c>
      <c r="I156" s="802">
        <f>H156</f>
        <v>100000</v>
      </c>
      <c r="J156" s="810"/>
      <c r="K156" s="802">
        <v>100000</v>
      </c>
      <c r="L156" s="802">
        <v>100000</v>
      </c>
      <c r="M156" s="825">
        <v>100000</v>
      </c>
      <c r="N156" s="825">
        <v>200000</v>
      </c>
      <c r="O156" s="825">
        <v>200000</v>
      </c>
      <c r="P156" s="863">
        <v>200000</v>
      </c>
    </row>
    <row r="157" spans="1:16">
      <c r="A157" s="773">
        <v>6171</v>
      </c>
      <c r="B157" s="772">
        <v>5329</v>
      </c>
      <c r="C157" s="785" t="s">
        <v>716</v>
      </c>
      <c r="D157" s="784"/>
      <c r="E157" s="784">
        <v>33200</v>
      </c>
      <c r="F157" s="784">
        <v>33200</v>
      </c>
      <c r="G157" s="784">
        <f t="shared" si="21"/>
        <v>0</v>
      </c>
      <c r="H157" s="784">
        <f t="shared" si="18"/>
        <v>33200</v>
      </c>
      <c r="I157" s="802">
        <f>H157</f>
        <v>33200</v>
      </c>
      <c r="J157" s="810"/>
      <c r="K157" s="802">
        <v>35020</v>
      </c>
      <c r="L157" s="802">
        <v>35500</v>
      </c>
      <c r="M157" s="825">
        <v>36000</v>
      </c>
      <c r="N157" s="825">
        <v>37000</v>
      </c>
      <c r="O157" s="825"/>
      <c r="P157" s="863">
        <v>500000</v>
      </c>
    </row>
    <row r="158" spans="1:16">
      <c r="A158" s="773">
        <v>6171</v>
      </c>
      <c r="B158" s="772">
        <v>5364</v>
      </c>
      <c r="C158" s="785" t="s">
        <v>717</v>
      </c>
      <c r="D158" s="784">
        <v>30000</v>
      </c>
      <c r="E158" s="784">
        <v>30000</v>
      </c>
      <c r="F158" s="784"/>
      <c r="G158" s="784">
        <f t="shared" si="21"/>
        <v>30000</v>
      </c>
      <c r="H158" s="784">
        <f t="shared" si="18"/>
        <v>30000</v>
      </c>
      <c r="I158" s="802">
        <f>H158</f>
        <v>30000</v>
      </c>
      <c r="J158" s="811">
        <v>-30000</v>
      </c>
      <c r="K158" s="802"/>
      <c r="L158" s="802"/>
      <c r="M158" s="825"/>
      <c r="N158" s="825"/>
      <c r="O158" s="825">
        <v>112200</v>
      </c>
      <c r="P158" s="863"/>
    </row>
    <row r="159" spans="1:16">
      <c r="A159" s="773">
        <v>6171</v>
      </c>
      <c r="B159" s="772">
        <v>5492</v>
      </c>
      <c r="C159" s="785" t="s">
        <v>718</v>
      </c>
      <c r="D159" s="784"/>
      <c r="E159" s="784"/>
      <c r="F159" s="784"/>
      <c r="G159" s="784"/>
      <c r="H159" s="784"/>
      <c r="I159" s="802"/>
      <c r="J159" s="811"/>
      <c r="K159" s="802"/>
      <c r="L159" s="802"/>
      <c r="M159" s="825"/>
      <c r="N159" s="825"/>
      <c r="O159" s="825">
        <v>39000</v>
      </c>
      <c r="P159" s="863">
        <v>100000</v>
      </c>
    </row>
    <row r="160" spans="1:16">
      <c r="A160" s="836">
        <v>6171</v>
      </c>
      <c r="B160" s="837">
        <v>6121</v>
      </c>
      <c r="C160" s="838" t="s">
        <v>719</v>
      </c>
      <c r="D160" s="839">
        <v>1000000</v>
      </c>
      <c r="E160" s="839">
        <v>200000</v>
      </c>
      <c r="F160" s="839"/>
      <c r="G160" s="839" t="e">
        <f>#REF!</f>
        <v>#REF!</v>
      </c>
      <c r="H160" s="839" t="e">
        <f t="shared" si="18"/>
        <v>#REF!</v>
      </c>
      <c r="I160" s="840" t="e">
        <f>#REF!</f>
        <v>#REF!</v>
      </c>
      <c r="J160" s="840">
        <v>1200000</v>
      </c>
      <c r="K160" s="840"/>
      <c r="L160" s="840"/>
      <c r="M160" s="842"/>
      <c r="N160" s="842"/>
      <c r="O160" s="842"/>
      <c r="P160" s="901">
        <v>3500000</v>
      </c>
    </row>
    <row r="161" spans="1:16">
      <c r="A161" s="836">
        <v>6171</v>
      </c>
      <c r="B161" s="837">
        <v>6122</v>
      </c>
      <c r="C161" s="838" t="s">
        <v>721</v>
      </c>
      <c r="D161" s="839"/>
      <c r="E161" s="839"/>
      <c r="F161" s="839"/>
      <c r="G161" s="839"/>
      <c r="H161" s="839"/>
      <c r="I161" s="840"/>
      <c r="J161" s="840"/>
      <c r="K161" s="840"/>
      <c r="L161" s="840"/>
      <c r="M161" s="842"/>
      <c r="N161" s="842"/>
      <c r="O161" s="842">
        <v>300000</v>
      </c>
      <c r="P161" s="901"/>
    </row>
    <row r="162" spans="1:16">
      <c r="A162" s="773">
        <v>6310</v>
      </c>
      <c r="B162" s="772">
        <v>5141</v>
      </c>
      <c r="C162" s="785" t="s">
        <v>722</v>
      </c>
      <c r="D162" s="784">
        <v>200000</v>
      </c>
      <c r="E162" s="784">
        <v>200000</v>
      </c>
      <c r="F162" s="784">
        <v>99018.94</v>
      </c>
      <c r="G162" s="784">
        <f>4*11000</f>
        <v>44000</v>
      </c>
      <c r="H162" s="784">
        <f t="shared" si="18"/>
        <v>143018.94</v>
      </c>
      <c r="I162" s="802">
        <f>12*10500</f>
        <v>126000</v>
      </c>
      <c r="J162" s="810"/>
      <c r="K162" s="802">
        <v>103446</v>
      </c>
      <c r="L162" s="802">
        <v>126000</v>
      </c>
      <c r="M162" s="825">
        <v>110000</v>
      </c>
      <c r="N162" s="825">
        <v>110000</v>
      </c>
      <c r="O162" s="825">
        <v>60000</v>
      </c>
      <c r="P162" s="863">
        <v>70000</v>
      </c>
    </row>
    <row r="163" spans="1:16">
      <c r="A163" s="773">
        <v>6310</v>
      </c>
      <c r="B163" s="772">
        <v>5163</v>
      </c>
      <c r="C163" s="785" t="s">
        <v>723</v>
      </c>
      <c r="D163" s="784">
        <v>20000</v>
      </c>
      <c r="E163" s="784">
        <v>20000</v>
      </c>
      <c r="F163" s="784">
        <v>10436.4</v>
      </c>
      <c r="G163" s="784">
        <f t="shared" si="21"/>
        <v>9563.6</v>
      </c>
      <c r="H163" s="784">
        <f t="shared" si="18"/>
        <v>20000</v>
      </c>
      <c r="I163" s="802">
        <f>H163</f>
        <v>20000</v>
      </c>
      <c r="J163" s="810"/>
      <c r="K163" s="802">
        <v>5410</v>
      </c>
      <c r="L163" s="802">
        <v>15000</v>
      </c>
      <c r="M163" s="825">
        <v>10000</v>
      </c>
      <c r="N163" s="825">
        <v>10000</v>
      </c>
      <c r="O163" s="825">
        <v>10000</v>
      </c>
      <c r="P163" s="863">
        <v>10000</v>
      </c>
    </row>
    <row r="164" spans="1:16">
      <c r="A164" s="773">
        <v>6310</v>
      </c>
      <c r="B164" s="772">
        <v>5362</v>
      </c>
      <c r="C164" s="785" t="s">
        <v>724</v>
      </c>
      <c r="D164" s="784">
        <v>600000</v>
      </c>
      <c r="E164" s="784">
        <v>600000</v>
      </c>
      <c r="F164" s="784">
        <v>202083</v>
      </c>
      <c r="G164" s="784">
        <f t="shared" si="21"/>
        <v>397917</v>
      </c>
      <c r="H164" s="784">
        <f t="shared" si="18"/>
        <v>600000</v>
      </c>
      <c r="I164" s="802">
        <f>H164</f>
        <v>600000</v>
      </c>
      <c r="J164" s="810"/>
      <c r="K164" s="802">
        <v>85109</v>
      </c>
      <c r="L164" s="802">
        <v>300000</v>
      </c>
      <c r="M164" s="825">
        <v>270000</v>
      </c>
      <c r="N164" s="825">
        <v>270000</v>
      </c>
      <c r="O164" s="825">
        <v>120000</v>
      </c>
      <c r="P164" s="863">
        <v>200000</v>
      </c>
    </row>
    <row r="165" spans="1:16">
      <c r="A165" s="773">
        <v>6399</v>
      </c>
      <c r="B165" s="772">
        <v>5362</v>
      </c>
      <c r="C165" s="785" t="s">
        <v>725</v>
      </c>
      <c r="D165" s="784">
        <v>200000</v>
      </c>
      <c r="E165" s="784">
        <v>200000</v>
      </c>
      <c r="F165" s="784"/>
      <c r="G165" s="784">
        <f t="shared" si="21"/>
        <v>200000</v>
      </c>
      <c r="H165" s="784">
        <f t="shared" si="18"/>
        <v>200000</v>
      </c>
      <c r="I165" s="802">
        <f>H165</f>
        <v>200000</v>
      </c>
      <c r="J165" s="811">
        <v>-200000</v>
      </c>
      <c r="K165" s="802"/>
      <c r="L165" s="802">
        <v>200000</v>
      </c>
      <c r="M165" s="825">
        <v>620007</v>
      </c>
      <c r="N165" s="825">
        <v>600000</v>
      </c>
      <c r="O165" s="825">
        <v>87000</v>
      </c>
      <c r="P165" s="863">
        <v>100000</v>
      </c>
    </row>
    <row r="166" spans="1:16" ht="14" thickBot="1">
      <c r="A166" s="1095" t="s">
        <v>726</v>
      </c>
      <c r="B166" s="1096"/>
      <c r="C166" s="1096"/>
      <c r="D166" s="782">
        <f t="shared" ref="D166:N166" si="22">SUM(D52:D165)</f>
        <v>43881900</v>
      </c>
      <c r="E166" s="782">
        <f t="shared" si="22"/>
        <v>46585900</v>
      </c>
      <c r="F166" s="782">
        <f t="shared" si="22"/>
        <v>33123496.800000001</v>
      </c>
      <c r="G166" s="782" t="e">
        <f t="shared" si="22"/>
        <v>#REF!</v>
      </c>
      <c r="H166" s="782" t="e">
        <f t="shared" si="22"/>
        <v>#REF!</v>
      </c>
      <c r="I166" s="801" t="e">
        <f t="shared" si="22"/>
        <v>#REF!</v>
      </c>
      <c r="J166" s="818">
        <f t="shared" si="22"/>
        <v>-238851</v>
      </c>
      <c r="K166" s="801">
        <f t="shared" si="22"/>
        <v>14623430</v>
      </c>
      <c r="L166" s="801" t="e">
        <f t="shared" si="22"/>
        <v>#REF!</v>
      </c>
      <c r="M166" s="865">
        <f t="shared" si="22"/>
        <v>19701107</v>
      </c>
      <c r="N166" s="865">
        <f t="shared" si="22"/>
        <v>35689100</v>
      </c>
      <c r="O166" s="858">
        <f>SUM(O51:O165)</f>
        <v>32750895</v>
      </c>
      <c r="P166" s="859">
        <f>SUM(P51:P165)</f>
        <v>99383000</v>
      </c>
    </row>
    <row r="167" spans="1:16" ht="14" thickBot="1">
      <c r="A167" s="952"/>
      <c r="B167" s="952"/>
      <c r="C167" s="788"/>
      <c r="D167" s="787"/>
      <c r="E167" s="787"/>
      <c r="F167" s="787"/>
      <c r="G167" s="953"/>
      <c r="H167" s="954"/>
      <c r="I167" s="954"/>
      <c r="J167" s="795"/>
      <c r="K167" s="954"/>
      <c r="L167" s="954"/>
      <c r="M167" s="826"/>
      <c r="N167" s="826"/>
    </row>
    <row r="168" spans="1:16">
      <c r="A168" s="1093" t="s">
        <v>727</v>
      </c>
      <c r="B168" s="1094"/>
      <c r="C168" s="1094"/>
      <c r="D168" s="797" t="e">
        <f t="shared" ref="D168:I168" si="23">D166-D169</f>
        <v>#REF!</v>
      </c>
      <c r="E168" s="797" t="e">
        <f t="shared" si="23"/>
        <v>#REF!</v>
      </c>
      <c r="F168" s="797" t="e">
        <f t="shared" si="23"/>
        <v>#REF!</v>
      </c>
      <c r="G168" s="797" t="e">
        <f t="shared" si="23"/>
        <v>#REF!</v>
      </c>
      <c r="H168" s="797" t="e">
        <f t="shared" si="23"/>
        <v>#REF!</v>
      </c>
      <c r="I168" s="804" t="e">
        <f t="shared" si="23"/>
        <v>#REF!</v>
      </c>
      <c r="J168" s="817"/>
      <c r="K168" s="804" t="e">
        <f t="shared" ref="K168:P168" si="24">K166-K169</f>
        <v>#REF!</v>
      </c>
      <c r="L168" s="804" t="e">
        <f t="shared" si="24"/>
        <v>#REF!</v>
      </c>
      <c r="M168" s="829" t="e">
        <f t="shared" si="24"/>
        <v>#REF!</v>
      </c>
      <c r="N168" s="833">
        <f>N166-N169</f>
        <v>18629100</v>
      </c>
      <c r="O168" s="828">
        <f t="shared" si="24"/>
        <v>25135895</v>
      </c>
      <c r="P168" s="828">
        <f t="shared" si="24"/>
        <v>37903000</v>
      </c>
    </row>
    <row r="169" spans="1:16">
      <c r="A169" s="1097" t="s">
        <v>728</v>
      </c>
      <c r="B169" s="1098"/>
      <c r="C169" s="1098"/>
      <c r="D169" s="792" t="e">
        <f>#REF!+D58+D74+D83+#REF!+D86+D95+D100+#REF!+D116+D117+#REF!+D127+#REF!+D160</f>
        <v>#REF!</v>
      </c>
      <c r="E169" s="792" t="e">
        <f>#REF!+E58+E74+E83+#REF!+E86+E95+E100+#REF!+E116+E117+#REF!+E127+#REF!+E160</f>
        <v>#REF!</v>
      </c>
      <c r="F169" s="792" t="e">
        <f>#REF!+F58+F74+F83+#REF!+F86+F95+F100+#REF!+F116+F117+#REF!+F127+#REF!+F160</f>
        <v>#REF!</v>
      </c>
      <c r="G169" s="792" t="e">
        <f>#REF!+G58+G74+G83+#REF!+G86+G95+G100+#REF!+G116+G117+#REF!+G127+#REF!+G160</f>
        <v>#REF!</v>
      </c>
      <c r="H169" s="792" t="e">
        <f>#REF!+H58+H74+H83+#REF!+H86+H95+H100+#REF!+H116+H117+#REF!+H127+#REF!+H160</f>
        <v>#REF!</v>
      </c>
      <c r="I169" s="805" t="e">
        <f>#REF!+I58+I74+I83+#REF!+I86+I95+I100+#REF!+I116+I117+#REF!+I127+I160+I104+I105</f>
        <v>#REF!</v>
      </c>
      <c r="J169" s="810"/>
      <c r="K169" s="805" t="e">
        <f>#REF!+K58+K74+K83+#REF!+K86+K95+K100+#REF!+K116+K117+#REF!+K127+K160+K105+K72</f>
        <v>#REF!</v>
      </c>
      <c r="L169" s="805" t="e">
        <f>#REF!+L58+L74+#REF!+L83+L86+L95+L100+L116+L117+#REF!+L160+L127+L105+#REF!+L104</f>
        <v>#REF!</v>
      </c>
      <c r="M169" s="832" t="e">
        <f>#REF!+M58+M72+M74+#REF!+M83+#REF!+M85+M86+M94+M95+M100+M104+#REF!+M105+M116+M117+#REF!+M127+M160</f>
        <v>#REF!</v>
      </c>
      <c r="N169" s="834">
        <f>N58+N72+N74+N83+N85+N86+N94+N95+N100+N104+N105+N116+N117+N127+N160</f>
        <v>17060000</v>
      </c>
      <c r="O169" s="828">
        <f>O58+O72+O74+O83+O85+O86+O94+O95+O97+O100+O103+O104+O105+O116+O117+O127+O160+O161</f>
        <v>7615000</v>
      </c>
      <c r="P169" s="828">
        <f>P58+P72+P74+P83+P86+P94+P95+P97+P100+P103+P104+P105+P116+P117+P127+P160+P161</f>
        <v>61480000</v>
      </c>
    </row>
    <row r="170" spans="1:16" ht="14" thickBot="1">
      <c r="A170" s="1095" t="s">
        <v>726</v>
      </c>
      <c r="B170" s="1096"/>
      <c r="C170" s="1096"/>
      <c r="D170" s="782">
        <f t="shared" ref="D170:I170" si="25">D166</f>
        <v>43881900</v>
      </c>
      <c r="E170" s="782">
        <f t="shared" si="25"/>
        <v>46585900</v>
      </c>
      <c r="F170" s="782">
        <f t="shared" si="25"/>
        <v>33123496.800000001</v>
      </c>
      <c r="G170" s="782" t="e">
        <f t="shared" si="25"/>
        <v>#REF!</v>
      </c>
      <c r="H170" s="782" t="e">
        <f t="shared" si="25"/>
        <v>#REF!</v>
      </c>
      <c r="I170" s="801" t="e">
        <f t="shared" si="25"/>
        <v>#REF!</v>
      </c>
      <c r="J170" s="819"/>
      <c r="K170" s="801">
        <f>K166</f>
        <v>14623430</v>
      </c>
      <c r="L170" s="801" t="e">
        <f>L166</f>
        <v>#REF!</v>
      </c>
      <c r="M170" s="830" t="e">
        <f>SUM(M168:M169)</f>
        <v>#REF!</v>
      </c>
      <c r="N170" s="835">
        <f>SUM(N168:N169)</f>
        <v>35689100</v>
      </c>
      <c r="O170" s="828">
        <f>SUM(O168:O169)</f>
        <v>32750895</v>
      </c>
      <c r="P170" s="828">
        <f>SUM(P168:P169)</f>
        <v>99383000</v>
      </c>
    </row>
    <row r="171" spans="1:16">
      <c r="A171" s="952"/>
      <c r="B171" s="952"/>
      <c r="C171" s="788"/>
      <c r="D171" s="787"/>
      <c r="E171" s="787"/>
      <c r="F171" s="787"/>
      <c r="G171" s="953"/>
      <c r="H171" s="954"/>
      <c r="I171" s="954"/>
      <c r="J171" s="795"/>
      <c r="K171" s="954"/>
      <c r="L171" s="954"/>
      <c r="M171" s="826"/>
      <c r="N171" s="831"/>
    </row>
    <row r="172" spans="1:16" ht="14" thickBot="1">
      <c r="A172" s="952"/>
      <c r="B172" s="952"/>
      <c r="C172" s="788"/>
      <c r="D172" s="787"/>
      <c r="E172" s="787"/>
      <c r="F172" s="787"/>
      <c r="G172" s="953"/>
      <c r="H172" s="954"/>
      <c r="I172" s="954"/>
      <c r="J172" s="795"/>
      <c r="K172" s="954"/>
      <c r="L172" s="954"/>
      <c r="M172" s="826"/>
      <c r="N172" s="826"/>
    </row>
    <row r="173" spans="1:16">
      <c r="A173" s="1093" t="s">
        <v>729</v>
      </c>
      <c r="B173" s="1094"/>
      <c r="C173" s="1094"/>
      <c r="D173" s="798"/>
      <c r="E173" s="798"/>
      <c r="F173" s="798"/>
      <c r="G173" s="798"/>
      <c r="H173" s="798"/>
      <c r="I173" s="806"/>
      <c r="J173" s="817"/>
      <c r="K173" s="806"/>
      <c r="L173" s="806"/>
      <c r="M173" s="880"/>
      <c r="N173" s="880"/>
      <c r="O173" s="880"/>
      <c r="P173" s="881"/>
    </row>
    <row r="174" spans="1:16">
      <c r="A174" s="773">
        <v>8124</v>
      </c>
      <c r="B174" s="772">
        <v>8124</v>
      </c>
      <c r="C174" s="785" t="s">
        <v>730</v>
      </c>
      <c r="D174" s="784">
        <f>2800000-800000</f>
        <v>2000000</v>
      </c>
      <c r="E174" s="784">
        <v>2000000</v>
      </c>
      <c r="F174" s="784">
        <v>1361446</v>
      </c>
      <c r="G174" s="784">
        <f>4*125000</f>
        <v>500000</v>
      </c>
      <c r="H174" s="784">
        <f>G174+F174</f>
        <v>1861446</v>
      </c>
      <c r="I174" s="802">
        <f>12*125000</f>
        <v>1500000</v>
      </c>
      <c r="J174" s="810"/>
      <c r="K174" s="802">
        <f>12*125000</f>
        <v>1500000</v>
      </c>
      <c r="L174" s="802">
        <f>12*125000</f>
        <v>1500000</v>
      </c>
      <c r="M174" s="825">
        <v>1500000</v>
      </c>
      <c r="N174" s="825">
        <v>1500000</v>
      </c>
      <c r="O174" s="825">
        <v>1500000</v>
      </c>
      <c r="P174" s="863">
        <v>1500000</v>
      </c>
    </row>
    <row r="175" spans="1:16" ht="14" thickBot="1">
      <c r="A175" s="1095" t="s">
        <v>731</v>
      </c>
      <c r="B175" s="1096"/>
      <c r="C175" s="1096"/>
      <c r="D175" s="782" t="e">
        <f>#REF!-D173+D174</f>
        <v>#REF!</v>
      </c>
      <c r="E175" s="782" t="e">
        <f>#REF!-E173+E174</f>
        <v>#REF!</v>
      </c>
      <c r="F175" s="782" t="e">
        <f>#REF!-F173+F174</f>
        <v>#REF!</v>
      </c>
      <c r="G175" s="782" t="e">
        <f>#REF!-G173+G174</f>
        <v>#REF!</v>
      </c>
      <c r="H175" s="782" t="e">
        <f>#REF!-H173+H174</f>
        <v>#REF!</v>
      </c>
      <c r="I175" s="801" t="e">
        <f>#REF!-I173+I174</f>
        <v>#REF!</v>
      </c>
      <c r="J175" s="819"/>
      <c r="K175" s="801" t="e">
        <f>#REF!-K173+K174</f>
        <v>#REF!</v>
      </c>
      <c r="L175" s="801" t="e">
        <f>#REF!-L173+L174</f>
        <v>#REF!</v>
      </c>
      <c r="M175" s="865">
        <f>M166+M174</f>
        <v>21201107</v>
      </c>
      <c r="N175" s="865">
        <f>N166+N174</f>
        <v>37189100</v>
      </c>
      <c r="O175" s="858">
        <f>O170+O174</f>
        <v>34250895</v>
      </c>
      <c r="P175" s="859">
        <f>P170+P174</f>
        <v>100883000</v>
      </c>
    </row>
  </sheetData>
  <mergeCells count="11">
    <mergeCell ref="A166:C166"/>
    <mergeCell ref="A23:C23"/>
    <mergeCell ref="A41:C41"/>
    <mergeCell ref="A42:C42"/>
    <mergeCell ref="A43:C43"/>
    <mergeCell ref="A47:C47"/>
    <mergeCell ref="A168:C168"/>
    <mergeCell ref="A169:C169"/>
    <mergeCell ref="A170:C170"/>
    <mergeCell ref="A173:C173"/>
    <mergeCell ref="A175:C175"/>
  </mergeCells>
  <pageMargins left="0.7" right="0.7" top="0.78740157499999996" bottom="0.78740157499999996" header="0.3" footer="0.3"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E7ABF-256A-4A28-96AB-190CDBABC6E3}">
  <dimension ref="A1:P191"/>
  <sheetViews>
    <sheetView topLeftCell="A21" workbookViewId="0">
      <selection sqref="A1:P191"/>
    </sheetView>
  </sheetViews>
  <sheetFormatPr baseColWidth="10" defaultColWidth="8.83203125" defaultRowHeight="13"/>
  <cols>
    <col min="3" max="3" width="32" customWidth="1"/>
    <col min="4" max="10" width="0" hidden="1" customWidth="1"/>
    <col min="11" max="11" width="3.5" hidden="1" customWidth="1"/>
    <col min="12" max="12" width="0" hidden="1" customWidth="1"/>
    <col min="13" max="13" width="11.5" hidden="1" customWidth="1"/>
    <col min="14" max="14" width="12.1640625" customWidth="1"/>
    <col min="15" max="15" width="12.6640625" style="826" customWidth="1"/>
    <col min="16" max="16" width="14.33203125" style="826" customWidth="1"/>
  </cols>
  <sheetData>
    <row r="1" spans="1:16" ht="17" thickBot="1">
      <c r="A1" s="808" t="s">
        <v>531</v>
      </c>
      <c r="B1" s="770"/>
      <c r="C1" s="780"/>
      <c r="D1" s="780"/>
      <c r="E1" s="780"/>
      <c r="F1" s="780"/>
      <c r="G1" s="780"/>
      <c r="H1" s="780"/>
      <c r="I1" s="780"/>
      <c r="J1" s="781"/>
      <c r="K1" s="780"/>
      <c r="L1" s="780"/>
    </row>
    <row r="2" spans="1:16" ht="37" thickBot="1">
      <c r="A2" s="796" t="s">
        <v>532</v>
      </c>
      <c r="B2" s="775" t="s">
        <v>376</v>
      </c>
      <c r="C2" s="774" t="s">
        <v>533</v>
      </c>
      <c r="D2" s="776" t="s">
        <v>534</v>
      </c>
      <c r="E2" s="776" t="s">
        <v>535</v>
      </c>
      <c r="F2" s="776" t="s">
        <v>536</v>
      </c>
      <c r="G2" s="776" t="s">
        <v>537</v>
      </c>
      <c r="H2" s="776" t="s">
        <v>538</v>
      </c>
      <c r="I2" s="800" t="s">
        <v>539</v>
      </c>
      <c r="J2" s="816" t="s">
        <v>540</v>
      </c>
      <c r="K2" s="800" t="s">
        <v>541</v>
      </c>
      <c r="L2" s="800">
        <v>2022</v>
      </c>
      <c r="M2" s="861" t="s">
        <v>542</v>
      </c>
      <c r="N2" s="861" t="s">
        <v>543</v>
      </c>
      <c r="O2" s="886" t="s">
        <v>544</v>
      </c>
      <c r="P2" s="862" t="s">
        <v>545</v>
      </c>
    </row>
    <row r="3" spans="1:16">
      <c r="A3" s="942"/>
      <c r="B3" s="943">
        <v>1111</v>
      </c>
      <c r="C3" s="790" t="s">
        <v>546</v>
      </c>
      <c r="D3" s="944">
        <v>4000000</v>
      </c>
      <c r="E3" s="944">
        <v>4000000</v>
      </c>
      <c r="F3" s="944">
        <v>2830187.77</v>
      </c>
      <c r="G3" s="944">
        <f>E3-F3+1184607</f>
        <v>2354419.23</v>
      </c>
      <c r="H3" s="944">
        <f>G3+F3</f>
        <v>5184607</v>
      </c>
      <c r="I3" s="945">
        <f>H3-2348647</f>
        <v>2835960</v>
      </c>
      <c r="J3" s="803"/>
      <c r="K3" s="945">
        <v>2776178</v>
      </c>
      <c r="L3" s="945">
        <v>2850000</v>
      </c>
      <c r="M3" s="825">
        <v>3400000</v>
      </c>
      <c r="N3" s="825">
        <v>3500000</v>
      </c>
      <c r="O3" s="825">
        <v>4443000</v>
      </c>
      <c r="P3" s="863">
        <v>5000000</v>
      </c>
    </row>
    <row r="4" spans="1:16">
      <c r="A4" s="773"/>
      <c r="B4" s="772">
        <v>1112</v>
      </c>
      <c r="C4" s="785" t="s">
        <v>548</v>
      </c>
      <c r="D4" s="784">
        <v>100000</v>
      </c>
      <c r="E4" s="784">
        <v>100000</v>
      </c>
      <c r="F4" s="784">
        <v>33015.269999999997</v>
      </c>
      <c r="G4" s="784">
        <v>44769</v>
      </c>
      <c r="H4" s="784">
        <f t="shared" ref="H4:H19" si="0">G4+F4</f>
        <v>77784.26999999999</v>
      </c>
      <c r="I4" s="802">
        <f t="shared" ref="I4:I19" si="1">H4</f>
        <v>77784.26999999999</v>
      </c>
      <c r="J4" s="803"/>
      <c r="K4" s="802">
        <v>141012</v>
      </c>
      <c r="L4" s="802">
        <v>150000</v>
      </c>
      <c r="M4" s="825">
        <v>300000</v>
      </c>
      <c r="N4" s="825">
        <v>400000</v>
      </c>
      <c r="O4" s="825">
        <v>330000</v>
      </c>
      <c r="P4" s="863">
        <v>350000</v>
      </c>
    </row>
    <row r="5" spans="1:16">
      <c r="A5" s="773"/>
      <c r="B5" s="772">
        <v>1113</v>
      </c>
      <c r="C5" s="785" t="s">
        <v>550</v>
      </c>
      <c r="D5" s="784">
        <v>390000</v>
      </c>
      <c r="E5" s="784">
        <v>390000</v>
      </c>
      <c r="F5" s="784">
        <v>262113.18</v>
      </c>
      <c r="G5" s="784">
        <f>E5-F5+96150</f>
        <v>224036.82</v>
      </c>
      <c r="H5" s="784">
        <f t="shared" si="0"/>
        <v>486150</v>
      </c>
      <c r="I5" s="802">
        <f t="shared" si="1"/>
        <v>486150</v>
      </c>
      <c r="J5" s="803"/>
      <c r="K5" s="802">
        <v>502179</v>
      </c>
      <c r="L5" s="802">
        <v>530000</v>
      </c>
      <c r="M5" s="825">
        <v>750000</v>
      </c>
      <c r="N5" s="825">
        <v>800000</v>
      </c>
      <c r="O5" s="825">
        <v>1100000</v>
      </c>
      <c r="P5" s="863">
        <v>1100000</v>
      </c>
    </row>
    <row r="6" spans="1:16">
      <c r="A6" s="773"/>
      <c r="B6" s="772">
        <v>1121</v>
      </c>
      <c r="C6" s="785" t="s">
        <v>552</v>
      </c>
      <c r="D6" s="784">
        <v>3600000</v>
      </c>
      <c r="E6" s="784">
        <v>3600000</v>
      </c>
      <c r="F6" s="784">
        <v>1915530.56</v>
      </c>
      <c r="G6" s="784">
        <f>E6-F6-600000+33576</f>
        <v>1118045.44</v>
      </c>
      <c r="H6" s="784">
        <f t="shared" si="0"/>
        <v>3033576</v>
      </c>
      <c r="I6" s="802">
        <f t="shared" si="1"/>
        <v>3033576</v>
      </c>
      <c r="J6" s="803"/>
      <c r="K6" s="802">
        <v>4519174</v>
      </c>
      <c r="L6" s="802">
        <v>4600000</v>
      </c>
      <c r="M6" s="825">
        <v>5800000</v>
      </c>
      <c r="N6" s="825">
        <v>5800000</v>
      </c>
      <c r="O6" s="825">
        <v>7600000</v>
      </c>
      <c r="P6" s="863">
        <v>8000000</v>
      </c>
    </row>
    <row r="7" spans="1:16">
      <c r="A7" s="773"/>
      <c r="B7" s="772">
        <v>1122</v>
      </c>
      <c r="C7" s="785" t="s">
        <v>553</v>
      </c>
      <c r="D7" s="784"/>
      <c r="E7" s="784"/>
      <c r="F7" s="784"/>
      <c r="G7" s="784"/>
      <c r="H7" s="784"/>
      <c r="I7" s="802"/>
      <c r="J7" s="803"/>
      <c r="K7" s="802"/>
      <c r="L7" s="802">
        <v>200000</v>
      </c>
      <c r="M7" s="825">
        <v>620007</v>
      </c>
      <c r="N7" s="825">
        <v>600000</v>
      </c>
      <c r="O7" s="825">
        <v>87000</v>
      </c>
      <c r="P7" s="863">
        <v>100000</v>
      </c>
    </row>
    <row r="8" spans="1:16">
      <c r="A8" s="773"/>
      <c r="B8" s="772">
        <v>1211</v>
      </c>
      <c r="C8" s="785" t="s">
        <v>554</v>
      </c>
      <c r="D8" s="784">
        <v>7700000</v>
      </c>
      <c r="E8" s="784">
        <v>7700000</v>
      </c>
      <c r="F8" s="784">
        <v>6046376.75</v>
      </c>
      <c r="G8" s="784">
        <f>E8-F8+2400000+60535</f>
        <v>4114158.25</v>
      </c>
      <c r="H8" s="784">
        <f t="shared" si="0"/>
        <v>10160535</v>
      </c>
      <c r="I8" s="802">
        <f t="shared" si="1"/>
        <v>10160535</v>
      </c>
      <c r="J8" s="803"/>
      <c r="K8" s="802">
        <v>8931306</v>
      </c>
      <c r="L8" s="802">
        <v>9500000</v>
      </c>
      <c r="M8" s="825">
        <v>13000000</v>
      </c>
      <c r="N8" s="825">
        <v>13500000</v>
      </c>
      <c r="O8" s="825">
        <v>15700000</v>
      </c>
      <c r="P8" s="863">
        <v>16500000</v>
      </c>
    </row>
    <row r="9" spans="1:16">
      <c r="A9" s="773"/>
      <c r="B9" s="772">
        <v>1334</v>
      </c>
      <c r="C9" s="785" t="s">
        <v>555</v>
      </c>
      <c r="D9" s="784"/>
      <c r="E9" s="784">
        <v>4000</v>
      </c>
      <c r="F9" s="784">
        <v>3689.68</v>
      </c>
      <c r="G9" s="784">
        <f t="shared" ref="G9:G19" si="2">E9-F9</f>
        <v>310.32000000000016</v>
      </c>
      <c r="H9" s="784">
        <f t="shared" si="0"/>
        <v>4000</v>
      </c>
      <c r="I9" s="802">
        <f t="shared" si="1"/>
        <v>4000</v>
      </c>
      <c r="J9" s="803"/>
      <c r="K9" s="802">
        <v>2013</v>
      </c>
      <c r="L9" s="802">
        <v>4000</v>
      </c>
      <c r="M9" s="825">
        <v>29000</v>
      </c>
      <c r="N9" s="825">
        <v>20000</v>
      </c>
      <c r="O9" s="825">
        <v>2000</v>
      </c>
      <c r="P9" s="863">
        <v>2000</v>
      </c>
    </row>
    <row r="10" spans="1:16">
      <c r="A10" s="773"/>
      <c r="B10" s="772">
        <v>1341</v>
      </c>
      <c r="C10" s="785" t="s">
        <v>556</v>
      </c>
      <c r="D10" s="784">
        <v>78000</v>
      </c>
      <c r="E10" s="784">
        <v>78000</v>
      </c>
      <c r="F10" s="784">
        <v>72700</v>
      </c>
      <c r="G10" s="784">
        <f t="shared" si="2"/>
        <v>5300</v>
      </c>
      <c r="H10" s="784">
        <f t="shared" si="0"/>
        <v>78000</v>
      </c>
      <c r="I10" s="802">
        <f t="shared" si="1"/>
        <v>78000</v>
      </c>
      <c r="J10" s="803">
        <v>4000</v>
      </c>
      <c r="K10" s="802">
        <v>85050</v>
      </c>
      <c r="L10" s="802">
        <v>86000</v>
      </c>
      <c r="M10" s="825">
        <v>91000</v>
      </c>
      <c r="N10" s="825">
        <v>91000</v>
      </c>
      <c r="O10" s="825">
        <v>85000</v>
      </c>
      <c r="P10" s="863">
        <v>85000</v>
      </c>
    </row>
    <row r="11" spans="1:16">
      <c r="A11" s="773"/>
      <c r="B11" s="772">
        <v>1342</v>
      </c>
      <c r="C11" s="785" t="s">
        <v>557</v>
      </c>
      <c r="D11" s="784">
        <v>2000</v>
      </c>
      <c r="E11" s="784">
        <v>3500</v>
      </c>
      <c r="F11" s="784">
        <v>3500</v>
      </c>
      <c r="G11" s="784">
        <f t="shared" si="2"/>
        <v>0</v>
      </c>
      <c r="H11" s="784">
        <f t="shared" si="0"/>
        <v>3500</v>
      </c>
      <c r="I11" s="802">
        <f t="shared" si="1"/>
        <v>3500</v>
      </c>
      <c r="J11" s="803">
        <v>3500</v>
      </c>
      <c r="K11" s="802">
        <v>7000</v>
      </c>
      <c r="L11" s="802">
        <v>7000</v>
      </c>
      <c r="M11" s="825">
        <v>0</v>
      </c>
      <c r="N11" s="825">
        <v>5000</v>
      </c>
      <c r="O11" s="825">
        <v>0</v>
      </c>
      <c r="P11" s="863">
        <v>5000</v>
      </c>
    </row>
    <row r="12" spans="1:16">
      <c r="A12" s="773"/>
      <c r="B12" s="772">
        <v>1343</v>
      </c>
      <c r="C12" s="785" t="s">
        <v>558</v>
      </c>
      <c r="D12" s="784">
        <v>40000</v>
      </c>
      <c r="E12" s="784">
        <v>40000</v>
      </c>
      <c r="F12" s="784">
        <v>18730</v>
      </c>
      <c r="G12" s="946">
        <f t="shared" si="2"/>
        <v>21270</v>
      </c>
      <c r="H12" s="784">
        <f t="shared" si="0"/>
        <v>40000</v>
      </c>
      <c r="I12" s="802">
        <f t="shared" si="1"/>
        <v>40000</v>
      </c>
      <c r="J12" s="803"/>
      <c r="K12" s="802">
        <v>37853</v>
      </c>
      <c r="L12" s="802">
        <v>40000</v>
      </c>
      <c r="M12" s="825">
        <v>45000</v>
      </c>
      <c r="N12" s="825">
        <v>45000</v>
      </c>
      <c r="O12" s="825">
        <v>35000</v>
      </c>
      <c r="P12" s="863">
        <v>30000</v>
      </c>
    </row>
    <row r="13" spans="1:16">
      <c r="A13" s="773"/>
      <c r="B13" s="772">
        <v>1345</v>
      </c>
      <c r="C13" s="785" t="s">
        <v>559</v>
      </c>
      <c r="D13" s="784"/>
      <c r="E13" s="784"/>
      <c r="F13" s="784"/>
      <c r="G13" s="946"/>
      <c r="H13" s="784"/>
      <c r="I13" s="802"/>
      <c r="J13" s="803"/>
      <c r="K13" s="802"/>
      <c r="L13" s="802"/>
      <c r="M13" s="825">
        <v>2170000</v>
      </c>
      <c r="N13" s="825">
        <v>2480000</v>
      </c>
      <c r="O13" s="825">
        <v>2600000</v>
      </c>
      <c r="P13" s="863">
        <v>2800000</v>
      </c>
    </row>
    <row r="14" spans="1:16">
      <c r="A14" s="773"/>
      <c r="B14" s="772">
        <v>1361</v>
      </c>
      <c r="C14" s="785" t="s">
        <v>560</v>
      </c>
      <c r="D14" s="784">
        <v>13000</v>
      </c>
      <c r="E14" s="784">
        <v>13000</v>
      </c>
      <c r="F14" s="784">
        <v>7797</v>
      </c>
      <c r="G14" s="784">
        <f t="shared" si="2"/>
        <v>5203</v>
      </c>
      <c r="H14" s="784">
        <f t="shared" si="0"/>
        <v>13000</v>
      </c>
      <c r="I14" s="802">
        <f t="shared" si="1"/>
        <v>13000</v>
      </c>
      <c r="J14" s="803"/>
      <c r="K14" s="802">
        <v>12340</v>
      </c>
      <c r="L14" s="802">
        <v>13000</v>
      </c>
      <c r="M14" s="825">
        <v>10000</v>
      </c>
      <c r="N14" s="825">
        <v>10000</v>
      </c>
      <c r="O14" s="825">
        <v>10000</v>
      </c>
      <c r="P14" s="863">
        <v>10000</v>
      </c>
    </row>
    <row r="15" spans="1:16">
      <c r="A15" s="773"/>
      <c r="B15" s="772">
        <v>1381</v>
      </c>
      <c r="C15" s="785" t="s">
        <v>561</v>
      </c>
      <c r="D15" s="784">
        <v>60000</v>
      </c>
      <c r="E15" s="784">
        <v>70000</v>
      </c>
      <c r="F15" s="784">
        <v>91684.6</v>
      </c>
      <c r="G15" s="946">
        <f>100000-F15</f>
        <v>8315.3999999999942</v>
      </c>
      <c r="H15" s="784">
        <f>G15+F15</f>
        <v>100000</v>
      </c>
      <c r="I15" s="802">
        <f t="shared" si="1"/>
        <v>100000</v>
      </c>
      <c r="J15" s="803"/>
      <c r="K15" s="802">
        <v>140881</v>
      </c>
      <c r="L15" s="802">
        <v>150000</v>
      </c>
      <c r="M15" s="825">
        <v>170000</v>
      </c>
      <c r="N15" s="825">
        <v>180000</v>
      </c>
      <c r="O15" s="825">
        <v>185000</v>
      </c>
      <c r="P15" s="863">
        <v>185000</v>
      </c>
    </row>
    <row r="16" spans="1:16">
      <c r="A16" s="773"/>
      <c r="B16" s="772">
        <v>1511</v>
      </c>
      <c r="C16" s="785" t="s">
        <v>562</v>
      </c>
      <c r="D16" s="784">
        <v>600000</v>
      </c>
      <c r="E16" s="784">
        <v>600000</v>
      </c>
      <c r="F16" s="784">
        <v>519740.61</v>
      </c>
      <c r="G16" s="784">
        <f t="shared" si="2"/>
        <v>80259.390000000014</v>
      </c>
      <c r="H16" s="784">
        <f t="shared" si="0"/>
        <v>600000</v>
      </c>
      <c r="I16" s="802">
        <f t="shared" si="1"/>
        <v>600000</v>
      </c>
      <c r="J16" s="803"/>
      <c r="K16" s="802">
        <v>532696</v>
      </c>
      <c r="L16" s="802">
        <v>600000</v>
      </c>
      <c r="M16" s="825">
        <v>550000</v>
      </c>
      <c r="N16" s="825">
        <v>550000</v>
      </c>
      <c r="O16" s="825">
        <v>550000</v>
      </c>
      <c r="P16" s="863">
        <v>550000</v>
      </c>
    </row>
    <row r="17" spans="1:16" ht="14" thickBot="1">
      <c r="A17" s="777" t="s">
        <v>563</v>
      </c>
      <c r="B17" s="778"/>
      <c r="C17" s="779"/>
      <c r="D17" s="782">
        <f t="shared" ref="D17:I17" si="3">SUM(D3:D16)</f>
        <v>16583000</v>
      </c>
      <c r="E17" s="782">
        <f t="shared" si="3"/>
        <v>16598500</v>
      </c>
      <c r="F17" s="782">
        <f t="shared" si="3"/>
        <v>11805065.42</v>
      </c>
      <c r="G17" s="782">
        <f t="shared" si="3"/>
        <v>7976086.8500000006</v>
      </c>
      <c r="H17" s="782">
        <f t="shared" si="3"/>
        <v>19781152.27</v>
      </c>
      <c r="I17" s="801">
        <f t="shared" si="3"/>
        <v>17432505.27</v>
      </c>
      <c r="J17" s="864"/>
      <c r="K17" s="801">
        <f t="shared" ref="K17:P17" si="4">SUM(K3:K16)</f>
        <v>17687682</v>
      </c>
      <c r="L17" s="801">
        <f t="shared" si="4"/>
        <v>18730000</v>
      </c>
      <c r="M17" s="865">
        <f t="shared" si="4"/>
        <v>26935007</v>
      </c>
      <c r="N17" s="865">
        <f>SUM(N3:N16)</f>
        <v>27981000</v>
      </c>
      <c r="O17" s="865">
        <f t="shared" si="4"/>
        <v>32727000</v>
      </c>
      <c r="P17" s="889">
        <f t="shared" si="4"/>
        <v>34717000</v>
      </c>
    </row>
    <row r="18" spans="1:16" hidden="1">
      <c r="A18" s="942"/>
      <c r="B18" s="943">
        <v>4111</v>
      </c>
      <c r="C18" s="790" t="s">
        <v>564</v>
      </c>
      <c r="D18" s="944"/>
      <c r="E18" s="944">
        <v>2179750</v>
      </c>
      <c r="F18" s="944">
        <v>2148750</v>
      </c>
      <c r="G18" s="944">
        <f t="shared" si="2"/>
        <v>31000</v>
      </c>
      <c r="H18" s="944">
        <f t="shared" si="0"/>
        <v>2179750</v>
      </c>
      <c r="I18" s="945"/>
      <c r="J18" s="866"/>
      <c r="K18" s="945"/>
      <c r="L18" s="945"/>
      <c r="M18" s="855">
        <v>32000</v>
      </c>
      <c r="N18" s="855"/>
      <c r="O18" s="855"/>
      <c r="P18" s="856"/>
    </row>
    <row r="19" spans="1:16">
      <c r="A19" s="773"/>
      <c r="B19" s="772">
        <v>4112</v>
      </c>
      <c r="C19" s="785" t="s">
        <v>566</v>
      </c>
      <c r="D19" s="784">
        <v>342200</v>
      </c>
      <c r="E19" s="784">
        <v>368000</v>
      </c>
      <c r="F19" s="784">
        <v>245336</v>
      </c>
      <c r="G19" s="784">
        <f t="shared" si="2"/>
        <v>122664</v>
      </c>
      <c r="H19" s="784">
        <f t="shared" si="0"/>
        <v>368000</v>
      </c>
      <c r="I19" s="802">
        <f t="shared" si="1"/>
        <v>368000</v>
      </c>
      <c r="J19" s="809">
        <v>27000</v>
      </c>
      <c r="K19" s="802">
        <v>296253</v>
      </c>
      <c r="L19" s="802">
        <v>368000</v>
      </c>
      <c r="M19" s="825">
        <v>368000</v>
      </c>
      <c r="N19" s="825">
        <v>368000</v>
      </c>
      <c r="O19" s="825">
        <v>368000</v>
      </c>
      <c r="P19" s="863">
        <v>368000</v>
      </c>
    </row>
    <row r="20" spans="1:16" hidden="1">
      <c r="A20" s="773"/>
      <c r="B20" s="772">
        <v>4222</v>
      </c>
      <c r="C20" s="949" t="s">
        <v>567</v>
      </c>
      <c r="D20" s="784"/>
      <c r="E20" s="784"/>
      <c r="F20" s="784"/>
      <c r="G20" s="950"/>
      <c r="H20" s="950"/>
      <c r="I20" s="820">
        <v>10000000</v>
      </c>
      <c r="J20" s="803"/>
      <c r="K20" s="802"/>
      <c r="L20" s="802"/>
      <c r="M20" s="825"/>
      <c r="N20" s="825"/>
      <c r="O20" s="825"/>
      <c r="P20" s="863"/>
    </row>
    <row r="21" spans="1:16">
      <c r="A21" s="1099" t="s">
        <v>569</v>
      </c>
      <c r="B21" s="1100"/>
      <c r="C21" s="1101"/>
      <c r="D21" s="849">
        <f t="shared" ref="D21:I21" si="5">SUM(D18:D20)</f>
        <v>342200</v>
      </c>
      <c r="E21" s="849">
        <f t="shared" si="5"/>
        <v>2547750</v>
      </c>
      <c r="F21" s="849">
        <f t="shared" si="5"/>
        <v>2394086</v>
      </c>
      <c r="G21" s="849">
        <f t="shared" si="5"/>
        <v>153664</v>
      </c>
      <c r="H21" s="849">
        <f t="shared" si="5"/>
        <v>2547750</v>
      </c>
      <c r="I21" s="850">
        <f t="shared" si="5"/>
        <v>10368000</v>
      </c>
      <c r="J21" s="882"/>
      <c r="K21" s="850">
        <f>SUM(K19:K20)</f>
        <v>296253</v>
      </c>
      <c r="L21" s="850">
        <f>SUM(L19:L20)</f>
        <v>368000</v>
      </c>
      <c r="M21" s="852">
        <f>SUM(M18:M20)</f>
        <v>400000</v>
      </c>
      <c r="N21" s="852">
        <f>SUM(N18:N20)</f>
        <v>368000</v>
      </c>
      <c r="O21" s="852">
        <f>SUM(O18:O20)</f>
        <v>368000</v>
      </c>
      <c r="P21" s="888">
        <f>SUM(P18:P20)</f>
        <v>368000</v>
      </c>
    </row>
    <row r="22" spans="1:16">
      <c r="A22" s="772">
        <v>1036</v>
      </c>
      <c r="B22" s="772" t="s">
        <v>1188</v>
      </c>
      <c r="C22" s="885" t="s">
        <v>596</v>
      </c>
      <c r="D22" s="783"/>
      <c r="E22" s="783"/>
      <c r="F22" s="783"/>
      <c r="G22" s="783"/>
      <c r="H22" s="783"/>
      <c r="I22" s="783"/>
      <c r="J22" s="803"/>
      <c r="K22" s="783"/>
      <c r="L22" s="783"/>
      <c r="M22" s="884"/>
      <c r="N22" s="884"/>
      <c r="O22" s="825">
        <v>60000</v>
      </c>
      <c r="P22" s="825"/>
    </row>
    <row r="23" spans="1:16">
      <c r="A23" s="947">
        <v>2310</v>
      </c>
      <c r="B23" s="948" t="s">
        <v>1188</v>
      </c>
      <c r="C23" s="807" t="s">
        <v>1189</v>
      </c>
      <c r="D23" s="902">
        <v>40000</v>
      </c>
      <c r="E23" s="902">
        <v>40000</v>
      </c>
      <c r="F23" s="902"/>
      <c r="G23" s="902">
        <f>E23-F23</f>
        <v>40000</v>
      </c>
      <c r="H23" s="902">
        <f t="shared" ref="H23:H39" si="6">G23+F23</f>
        <v>40000</v>
      </c>
      <c r="I23" s="903">
        <f>H23</f>
        <v>40000</v>
      </c>
      <c r="J23" s="860"/>
      <c r="K23" s="903"/>
      <c r="L23" s="903">
        <v>40000</v>
      </c>
      <c r="M23" s="853">
        <v>40000</v>
      </c>
      <c r="N23" s="853">
        <v>40000</v>
      </c>
      <c r="O23" s="853">
        <v>260000</v>
      </c>
      <c r="P23" s="883">
        <v>250000</v>
      </c>
    </row>
    <row r="24" spans="1:16">
      <c r="A24" s="773">
        <v>2329</v>
      </c>
      <c r="B24" s="772" t="s">
        <v>1188</v>
      </c>
      <c r="C24" s="785" t="s">
        <v>1190</v>
      </c>
      <c r="D24" s="784">
        <v>4300000</v>
      </c>
      <c r="E24" s="784">
        <v>4300000</v>
      </c>
      <c r="F24" s="784">
        <v>3712414.18</v>
      </c>
      <c r="G24" s="784">
        <f>E24-F24</f>
        <v>587585.81999999983</v>
      </c>
      <c r="H24" s="784">
        <f t="shared" si="6"/>
        <v>4300000</v>
      </c>
      <c r="I24" s="802">
        <f>H24</f>
        <v>4300000</v>
      </c>
      <c r="J24" s="803"/>
      <c r="K24" s="802">
        <v>2205174</v>
      </c>
      <c r="L24" s="802">
        <v>4300000</v>
      </c>
      <c r="M24" s="825">
        <v>4400000</v>
      </c>
      <c r="N24" s="825">
        <v>4400000</v>
      </c>
      <c r="O24" s="825">
        <v>4400000</v>
      </c>
      <c r="P24" s="863">
        <v>5000000</v>
      </c>
    </row>
    <row r="25" spans="1:16">
      <c r="A25" s="773">
        <v>3111</v>
      </c>
      <c r="B25" s="772" t="s">
        <v>1188</v>
      </c>
      <c r="C25" s="785" t="s">
        <v>1192</v>
      </c>
      <c r="D25" s="784"/>
      <c r="E25" s="784"/>
      <c r="F25" s="784"/>
      <c r="G25" s="784"/>
      <c r="H25" s="784"/>
      <c r="I25" s="802"/>
      <c r="J25" s="803"/>
      <c r="K25" s="802">
        <v>11437</v>
      </c>
      <c r="L25" s="802">
        <v>30000</v>
      </c>
      <c r="M25" s="825">
        <v>40000</v>
      </c>
      <c r="N25" s="825">
        <v>40000</v>
      </c>
      <c r="O25" s="825">
        <v>40000</v>
      </c>
      <c r="P25" s="863">
        <v>40000</v>
      </c>
    </row>
    <row r="26" spans="1:16">
      <c r="A26" s="773">
        <v>3613</v>
      </c>
      <c r="B26" s="772" t="s">
        <v>1188</v>
      </c>
      <c r="C26" s="785" t="s">
        <v>1191</v>
      </c>
      <c r="D26" s="784">
        <v>10000</v>
      </c>
      <c r="E26" s="784">
        <v>10000</v>
      </c>
      <c r="F26" s="784">
        <v>2000</v>
      </c>
      <c r="G26" s="784">
        <f>E26-F26</f>
        <v>8000</v>
      </c>
      <c r="H26" s="784">
        <f>G26+F26</f>
        <v>10000</v>
      </c>
      <c r="I26" s="802">
        <f t="shared" ref="I26:I39" si="7">H26</f>
        <v>10000</v>
      </c>
      <c r="J26" s="803"/>
      <c r="K26" s="802">
        <v>10000</v>
      </c>
      <c r="L26" s="802">
        <v>10000</v>
      </c>
      <c r="M26" s="825">
        <v>20000</v>
      </c>
      <c r="N26" s="825">
        <v>20000</v>
      </c>
      <c r="O26" s="825">
        <v>21000</v>
      </c>
      <c r="P26" s="863">
        <v>20000</v>
      </c>
    </row>
    <row r="27" spans="1:16" hidden="1">
      <c r="A27" s="773">
        <v>3639</v>
      </c>
      <c r="B27" s="772">
        <v>2119</v>
      </c>
      <c r="C27" s="785" t="s">
        <v>576</v>
      </c>
      <c r="D27" s="784"/>
      <c r="E27" s="784"/>
      <c r="F27" s="784"/>
      <c r="G27" s="784"/>
      <c r="H27" s="784"/>
      <c r="I27" s="802"/>
      <c r="J27" s="803"/>
      <c r="K27" s="802"/>
      <c r="L27" s="802"/>
      <c r="M27" s="825"/>
      <c r="N27" s="825"/>
      <c r="O27" s="825">
        <v>27000</v>
      </c>
      <c r="P27" s="863"/>
    </row>
    <row r="28" spans="1:16" hidden="1">
      <c r="A28" s="773">
        <v>3639</v>
      </c>
      <c r="B28" s="772">
        <v>2131</v>
      </c>
      <c r="C28" s="785" t="s">
        <v>577</v>
      </c>
      <c r="D28" s="784"/>
      <c r="E28" s="784">
        <v>218000</v>
      </c>
      <c r="F28" s="784">
        <v>217922</v>
      </c>
      <c r="G28" s="784">
        <f>E28-F28</f>
        <v>78</v>
      </c>
      <c r="H28" s="784">
        <f t="shared" si="6"/>
        <v>218000</v>
      </c>
      <c r="I28" s="802">
        <f t="shared" si="7"/>
        <v>218000</v>
      </c>
      <c r="J28" s="803"/>
      <c r="K28" s="802"/>
      <c r="L28" s="802"/>
      <c r="M28" s="825">
        <v>15000</v>
      </c>
      <c r="N28" s="825"/>
      <c r="O28" s="825">
        <v>9000</v>
      </c>
      <c r="P28" s="863"/>
    </row>
    <row r="29" spans="1:16" hidden="1">
      <c r="A29" s="892">
        <v>3639</v>
      </c>
      <c r="B29" s="893">
        <v>3111</v>
      </c>
      <c r="C29" s="894" t="s">
        <v>578</v>
      </c>
      <c r="D29" s="895"/>
      <c r="E29" s="895"/>
      <c r="F29" s="895"/>
      <c r="G29" s="895"/>
      <c r="H29" s="895"/>
      <c r="I29" s="896"/>
      <c r="J29" s="897"/>
      <c r="K29" s="896"/>
      <c r="L29" s="896"/>
      <c r="M29" s="898"/>
      <c r="N29" s="898"/>
      <c r="O29" s="898"/>
      <c r="P29" s="899">
        <v>24000000</v>
      </c>
    </row>
    <row r="30" spans="1:16" s="120" customFormat="1">
      <c r="A30" s="773">
        <v>3639</v>
      </c>
      <c r="B30" s="772" t="s">
        <v>1188</v>
      </c>
      <c r="C30" s="785" t="s">
        <v>1193</v>
      </c>
      <c r="D30" s="784"/>
      <c r="E30" s="784"/>
      <c r="F30" s="784"/>
      <c r="G30" s="784"/>
      <c r="H30" s="784"/>
      <c r="I30" s="802"/>
      <c r="J30" s="803"/>
      <c r="K30" s="802"/>
      <c r="L30" s="802"/>
      <c r="M30" s="825"/>
      <c r="N30" s="825"/>
      <c r="O30" s="825">
        <f>SUM(O27:O29)</f>
        <v>36000</v>
      </c>
      <c r="P30" s="863">
        <f>SUM(P27:P29)</f>
        <v>24000000</v>
      </c>
    </row>
    <row r="31" spans="1:16">
      <c r="A31" s="773">
        <v>3725</v>
      </c>
      <c r="B31" s="772" t="s">
        <v>1188</v>
      </c>
      <c r="C31" s="785" t="s">
        <v>1194</v>
      </c>
      <c r="D31" s="784">
        <v>320000</v>
      </c>
      <c r="E31" s="784">
        <v>320000</v>
      </c>
      <c r="F31" s="784">
        <v>233974</v>
      </c>
      <c r="G31" s="784">
        <f>E31-F31</f>
        <v>86026</v>
      </c>
      <c r="H31" s="784">
        <f t="shared" si="6"/>
        <v>320000</v>
      </c>
      <c r="I31" s="802">
        <f t="shared" si="7"/>
        <v>320000</v>
      </c>
      <c r="J31" s="803"/>
      <c r="K31" s="802">
        <v>266159</v>
      </c>
      <c r="L31" s="802">
        <v>320000</v>
      </c>
      <c r="M31" s="825">
        <v>320000</v>
      </c>
      <c r="N31" s="825">
        <v>400000</v>
      </c>
      <c r="O31" s="825">
        <v>400000</v>
      </c>
      <c r="P31" s="863">
        <v>450000</v>
      </c>
    </row>
    <row r="32" spans="1:16">
      <c r="A32" s="773">
        <v>3726</v>
      </c>
      <c r="B32" s="772" t="s">
        <v>1188</v>
      </c>
      <c r="C32" s="785" t="s">
        <v>1195</v>
      </c>
      <c r="D32" s="784">
        <v>260000</v>
      </c>
      <c r="E32" s="784">
        <v>320000</v>
      </c>
      <c r="F32" s="784">
        <v>322156</v>
      </c>
      <c r="G32" s="784">
        <v>0</v>
      </c>
      <c r="H32" s="784">
        <f t="shared" si="6"/>
        <v>322156</v>
      </c>
      <c r="I32" s="802">
        <v>400000</v>
      </c>
      <c r="J32" s="803">
        <v>5000</v>
      </c>
      <c r="K32" s="802">
        <v>421161</v>
      </c>
      <c r="L32" s="802">
        <v>430000</v>
      </c>
      <c r="M32" s="825">
        <v>470000</v>
      </c>
      <c r="N32" s="825">
        <v>480000</v>
      </c>
      <c r="O32" s="825">
        <v>490000</v>
      </c>
      <c r="P32" s="863">
        <v>530000</v>
      </c>
    </row>
    <row r="33" spans="1:16" hidden="1">
      <c r="A33" s="773">
        <v>6171</v>
      </c>
      <c r="B33" s="772">
        <v>2111</v>
      </c>
      <c r="C33" s="785" t="s">
        <v>582</v>
      </c>
      <c r="D33" s="784">
        <v>1000</v>
      </c>
      <c r="E33" s="784">
        <v>4500</v>
      </c>
      <c r="F33" s="784">
        <v>14412</v>
      </c>
      <c r="G33" s="784">
        <v>0</v>
      </c>
      <c r="H33" s="784">
        <f t="shared" si="6"/>
        <v>14412</v>
      </c>
      <c r="I33" s="802">
        <f t="shared" si="7"/>
        <v>14412</v>
      </c>
      <c r="J33" s="803"/>
      <c r="K33" s="802">
        <v>3034</v>
      </c>
      <c r="L33" s="802">
        <v>5000</v>
      </c>
      <c r="M33" s="825">
        <v>6000</v>
      </c>
      <c r="N33" s="825">
        <v>5000</v>
      </c>
      <c r="O33" s="825">
        <v>2000</v>
      </c>
      <c r="P33" s="863">
        <v>5000</v>
      </c>
    </row>
    <row r="34" spans="1:16" hidden="1">
      <c r="A34" s="773">
        <v>6171</v>
      </c>
      <c r="B34" s="772">
        <v>2112</v>
      </c>
      <c r="C34" s="785" t="s">
        <v>583</v>
      </c>
      <c r="D34" s="784">
        <v>5000</v>
      </c>
      <c r="E34" s="784">
        <v>5000</v>
      </c>
      <c r="F34" s="784">
        <v>3850</v>
      </c>
      <c r="G34" s="784">
        <f>E34-F34</f>
        <v>1150</v>
      </c>
      <c r="H34" s="784">
        <f t="shared" si="6"/>
        <v>5000</v>
      </c>
      <c r="I34" s="802">
        <f t="shared" si="7"/>
        <v>5000</v>
      </c>
      <c r="J34" s="803"/>
      <c r="K34" s="802">
        <v>3862</v>
      </c>
      <c r="L34" s="802">
        <v>5000</v>
      </c>
      <c r="M34" s="825">
        <v>39000</v>
      </c>
      <c r="N34" s="825">
        <v>5000</v>
      </c>
      <c r="O34" s="825">
        <v>2000</v>
      </c>
      <c r="P34" s="863">
        <v>2000</v>
      </c>
    </row>
    <row r="35" spans="1:16" hidden="1">
      <c r="A35" s="773">
        <v>6171</v>
      </c>
      <c r="B35" s="772">
        <v>2132</v>
      </c>
      <c r="C35" s="785" t="s">
        <v>584</v>
      </c>
      <c r="D35" s="784">
        <v>2000</v>
      </c>
      <c r="E35" s="784">
        <v>2000</v>
      </c>
      <c r="F35" s="784"/>
      <c r="G35" s="784">
        <f>E35-F35</f>
        <v>2000</v>
      </c>
      <c r="H35" s="784">
        <f>G35+F35</f>
        <v>2000</v>
      </c>
      <c r="I35" s="802">
        <f t="shared" si="7"/>
        <v>2000</v>
      </c>
      <c r="J35" s="803"/>
      <c r="K35" s="802">
        <v>1212</v>
      </c>
      <c r="L35" s="802">
        <v>2000</v>
      </c>
      <c r="M35" s="825"/>
      <c r="N35" s="825"/>
      <c r="O35" s="825"/>
      <c r="P35" s="863"/>
    </row>
    <row r="36" spans="1:16" hidden="1">
      <c r="A36" s="773">
        <v>6171</v>
      </c>
      <c r="B36" s="772">
        <v>2212</v>
      </c>
      <c r="C36" s="785" t="s">
        <v>585</v>
      </c>
      <c r="D36" s="784"/>
      <c r="E36" s="784">
        <v>500</v>
      </c>
      <c r="F36" s="784">
        <v>1500</v>
      </c>
      <c r="G36" s="784">
        <v>0</v>
      </c>
      <c r="H36" s="784">
        <f t="shared" si="6"/>
        <v>1500</v>
      </c>
      <c r="I36" s="802">
        <f t="shared" si="7"/>
        <v>1500</v>
      </c>
      <c r="J36" s="803"/>
      <c r="K36" s="802">
        <v>5000</v>
      </c>
      <c r="L36" s="802">
        <v>1500</v>
      </c>
      <c r="M36" s="825"/>
      <c r="N36" s="825">
        <v>2000</v>
      </c>
      <c r="O36" s="825">
        <v>1000</v>
      </c>
      <c r="P36" s="863">
        <v>10000</v>
      </c>
    </row>
    <row r="37" spans="1:16" hidden="1">
      <c r="A37" s="892">
        <v>6171</v>
      </c>
      <c r="B37" s="893">
        <v>3113</v>
      </c>
      <c r="C37" s="894" t="s">
        <v>586</v>
      </c>
      <c r="D37" s="895"/>
      <c r="E37" s="895"/>
      <c r="F37" s="895"/>
      <c r="G37" s="895"/>
      <c r="H37" s="895"/>
      <c r="I37" s="896"/>
      <c r="J37" s="897"/>
      <c r="K37" s="896"/>
      <c r="L37" s="896"/>
      <c r="M37" s="898"/>
      <c r="N37" s="898"/>
      <c r="O37" s="898"/>
      <c r="P37" s="899"/>
    </row>
    <row r="38" spans="1:16" s="120" customFormat="1">
      <c r="A38" s="773">
        <v>6171</v>
      </c>
      <c r="B38" s="772" t="s">
        <v>1188</v>
      </c>
      <c r="C38" s="785" t="s">
        <v>1196</v>
      </c>
      <c r="D38" s="784"/>
      <c r="E38" s="784"/>
      <c r="F38" s="784"/>
      <c r="G38" s="784"/>
      <c r="H38" s="784"/>
      <c r="I38" s="802"/>
      <c r="J38" s="803"/>
      <c r="K38" s="802"/>
      <c r="L38" s="802"/>
      <c r="M38" s="825"/>
      <c r="N38" s="825">
        <f>SUM(N33:N37)</f>
        <v>12000</v>
      </c>
      <c r="O38" s="825">
        <f>SUM(O33:O37)</f>
        <v>5000</v>
      </c>
      <c r="P38" s="863">
        <f>SUM(P33:P37)</f>
        <v>17000</v>
      </c>
    </row>
    <row r="39" spans="1:16">
      <c r="A39" s="773">
        <v>6310</v>
      </c>
      <c r="B39" s="772" t="s">
        <v>1188</v>
      </c>
      <c r="C39" s="785" t="s">
        <v>1197</v>
      </c>
      <c r="D39" s="784">
        <v>500</v>
      </c>
      <c r="E39" s="784">
        <v>500</v>
      </c>
      <c r="F39" s="784"/>
      <c r="G39" s="784">
        <f>E39-F39</f>
        <v>500</v>
      </c>
      <c r="H39" s="784">
        <f t="shared" si="6"/>
        <v>500</v>
      </c>
      <c r="I39" s="802">
        <f t="shared" si="7"/>
        <v>500</v>
      </c>
      <c r="J39" s="803"/>
      <c r="K39" s="802"/>
      <c r="L39" s="802">
        <v>500</v>
      </c>
      <c r="M39" s="825">
        <v>930000</v>
      </c>
      <c r="N39" s="825">
        <v>1872000</v>
      </c>
      <c r="O39" s="825">
        <v>2300000</v>
      </c>
      <c r="P39" s="863">
        <v>1500000</v>
      </c>
    </row>
    <row r="40" spans="1:16">
      <c r="A40" s="1099" t="s">
        <v>588</v>
      </c>
      <c r="B40" s="1100"/>
      <c r="C40" s="1101"/>
      <c r="D40" s="849">
        <f t="shared" ref="D40:I40" si="8">SUM(D23:D39)</f>
        <v>4938500</v>
      </c>
      <c r="E40" s="849">
        <f t="shared" si="8"/>
        <v>5220500</v>
      </c>
      <c r="F40" s="951">
        <f t="shared" si="8"/>
        <v>4508228.18</v>
      </c>
      <c r="G40" s="951">
        <f t="shared" si="8"/>
        <v>725339.81999999983</v>
      </c>
      <c r="H40" s="951">
        <f t="shared" si="8"/>
        <v>5233568</v>
      </c>
      <c r="I40" s="850">
        <f t="shared" si="8"/>
        <v>5311412</v>
      </c>
      <c r="J40" s="851"/>
      <c r="K40" s="850">
        <f>SUM(K23:K39)</f>
        <v>2927039</v>
      </c>
      <c r="L40" s="850">
        <f>SUM(L23:L39)</f>
        <v>5144000</v>
      </c>
      <c r="M40" s="852">
        <f>SUM(M23:M39)</f>
        <v>6280000</v>
      </c>
      <c r="N40" s="852">
        <f>N22+N23+N24+N25+N26+N30+N31+N32+N38+N39</f>
        <v>7264000</v>
      </c>
      <c r="O40" s="852">
        <f>O22+O23+O24+O25+O26+O30+O31+O32+O38+O39</f>
        <v>8012000</v>
      </c>
      <c r="P40" s="888">
        <f>P22+P23+P24+P25+P26+P30+P31+P32+P38+P39-24000000</f>
        <v>7807000</v>
      </c>
    </row>
    <row r="41" spans="1:16" ht="14" thickBot="1">
      <c r="A41" s="1102" t="s">
        <v>589</v>
      </c>
      <c r="B41" s="1103"/>
      <c r="C41" s="1104"/>
      <c r="D41" s="782" t="e">
        <f>#REF!</f>
        <v>#REF!</v>
      </c>
      <c r="E41" s="782" t="e">
        <f>#REF!</f>
        <v>#REF!</v>
      </c>
      <c r="F41" s="782" t="e">
        <f>#REF!</f>
        <v>#REF!</v>
      </c>
      <c r="G41" s="782" t="e">
        <f>#REF!</f>
        <v>#REF!</v>
      </c>
      <c r="H41" s="782" t="e">
        <f>G41+F41</f>
        <v>#REF!</v>
      </c>
      <c r="I41" s="791" t="e">
        <f>#REF!</f>
        <v>#REF!</v>
      </c>
      <c r="J41" s="857"/>
      <c r="K41" s="791"/>
      <c r="L41" s="822"/>
      <c r="M41" s="858"/>
      <c r="N41" s="865">
        <f>N29+N37</f>
        <v>0</v>
      </c>
      <c r="O41" s="865">
        <f>O29+O37</f>
        <v>0</v>
      </c>
      <c r="P41" s="889">
        <f>P29+P37</f>
        <v>24000000</v>
      </c>
    </row>
    <row r="42" spans="1:16" ht="14" thickBot="1">
      <c r="A42" s="1105" t="s">
        <v>590</v>
      </c>
      <c r="B42" s="1106"/>
      <c r="C42" s="1107"/>
      <c r="D42" s="793" t="e">
        <f t="shared" ref="D42:I42" si="9">D17+D21+D40+D41</f>
        <v>#REF!</v>
      </c>
      <c r="E42" s="793" t="e">
        <f t="shared" si="9"/>
        <v>#REF!</v>
      </c>
      <c r="F42" s="793" t="e">
        <f t="shared" si="9"/>
        <v>#REF!</v>
      </c>
      <c r="G42" s="793" t="e">
        <f t="shared" si="9"/>
        <v>#REF!</v>
      </c>
      <c r="H42" s="793" t="e">
        <f t="shared" si="9"/>
        <v>#REF!</v>
      </c>
      <c r="I42" s="794" t="e">
        <f t="shared" si="9"/>
        <v>#REF!</v>
      </c>
      <c r="J42" s="814"/>
      <c r="K42" s="794">
        <f>K17+K21+K40</f>
        <v>20910974</v>
      </c>
      <c r="L42" s="823">
        <f>L17+L21+L40</f>
        <v>24242000</v>
      </c>
      <c r="M42" s="827">
        <f>M17+M21+M40+M41</f>
        <v>33615007</v>
      </c>
      <c r="N42" s="827">
        <f>N17+N21+N40+N41</f>
        <v>35613000</v>
      </c>
      <c r="O42" s="827">
        <f>O17+O21+O40+O41</f>
        <v>41107000</v>
      </c>
      <c r="P42" s="827">
        <f>P17+P21+P40+P41</f>
        <v>66892000</v>
      </c>
    </row>
    <row r="43" spans="1:16">
      <c r="A43" s="952"/>
      <c r="B43" s="952"/>
      <c r="C43" s="788"/>
      <c r="D43" s="787"/>
      <c r="E43" s="787"/>
      <c r="F43" s="787"/>
      <c r="G43" s="953"/>
      <c r="H43" s="954"/>
      <c r="I43" s="954"/>
      <c r="J43" s="795"/>
      <c r="K43" s="954"/>
      <c r="L43" s="954"/>
      <c r="M43" s="826"/>
      <c r="N43" s="826"/>
    </row>
    <row r="44" spans="1:16" ht="13.5" hidden="1" customHeight="1">
      <c r="A44" s="867"/>
      <c r="B44" s="955">
        <v>8123</v>
      </c>
      <c r="C44" s="868" t="s">
        <v>591</v>
      </c>
      <c r="D44" s="869"/>
      <c r="E44" s="869"/>
      <c r="F44" s="869"/>
      <c r="G44" s="869"/>
      <c r="H44" s="869"/>
      <c r="I44" s="869"/>
      <c r="J44" s="854" t="s">
        <v>592</v>
      </c>
      <c r="K44" s="869"/>
      <c r="L44" s="870"/>
      <c r="M44" s="871"/>
      <c r="N44" s="871"/>
      <c r="O44" s="855"/>
      <c r="P44" s="856"/>
    </row>
    <row r="45" spans="1:16" ht="14" thickBot="1">
      <c r="A45" s="872">
        <v>8115</v>
      </c>
      <c r="B45" s="873">
        <v>8115</v>
      </c>
      <c r="C45" s="874" t="s">
        <v>593</v>
      </c>
      <c r="D45" s="875">
        <f>11600200+10650000+200000+850000</f>
        <v>23300200</v>
      </c>
      <c r="E45" s="875">
        <v>25571150</v>
      </c>
      <c r="F45" s="875">
        <f>16406358.89+45150</f>
        <v>16451508.890000001</v>
      </c>
      <c r="G45" s="875" t="e">
        <f>-(G42-G191)</f>
        <v>#REF!</v>
      </c>
      <c r="H45" s="875" t="e">
        <f>-(H42-H191)</f>
        <v>#REF!</v>
      </c>
      <c r="I45" s="875" t="e">
        <f>-(I42-I191)</f>
        <v>#REF!</v>
      </c>
      <c r="J45" s="864">
        <v>-51105.41</v>
      </c>
      <c r="K45" s="875"/>
      <c r="L45" s="875">
        <v>11233929</v>
      </c>
      <c r="M45" s="876">
        <f>M191-M42</f>
        <v>-12413900</v>
      </c>
      <c r="N45" s="876">
        <f>N191-N42</f>
        <v>-228900</v>
      </c>
      <c r="O45" s="876">
        <v>-6856105</v>
      </c>
      <c r="P45" s="877">
        <v>33991000</v>
      </c>
    </row>
    <row r="46" spans="1:16" ht="14" thickBot="1">
      <c r="A46" s="1108" t="s">
        <v>594</v>
      </c>
      <c r="B46" s="1109"/>
      <c r="C46" s="1110"/>
      <c r="D46" s="793" t="e">
        <f t="shared" ref="D46:I46" si="10">SUM(D42:D45)</f>
        <v>#REF!</v>
      </c>
      <c r="E46" s="793" t="e">
        <f t="shared" si="10"/>
        <v>#REF!</v>
      </c>
      <c r="F46" s="793" t="e">
        <f t="shared" si="10"/>
        <v>#REF!</v>
      </c>
      <c r="G46" s="793" t="e">
        <f t="shared" si="10"/>
        <v>#REF!</v>
      </c>
      <c r="H46" s="793" t="e">
        <f t="shared" si="10"/>
        <v>#REF!</v>
      </c>
      <c r="I46" s="794" t="e">
        <f t="shared" si="10"/>
        <v>#REF!</v>
      </c>
      <c r="J46" s="815"/>
      <c r="K46" s="794">
        <f>SUM(K42:K45)</f>
        <v>20910974</v>
      </c>
      <c r="L46" s="823">
        <f>SUM(L42:L45)</f>
        <v>35475929</v>
      </c>
      <c r="M46" s="878">
        <f>SUM(M42:M45)</f>
        <v>21201107</v>
      </c>
      <c r="N46" s="878">
        <f>SUM(N42:N45)</f>
        <v>35384100</v>
      </c>
      <c r="O46" s="887">
        <f>O42+O44+O45</f>
        <v>34250895</v>
      </c>
      <c r="P46" s="879">
        <f>P42+P44+P45</f>
        <v>100883000</v>
      </c>
    </row>
    <row r="47" spans="1:16">
      <c r="A47" s="487"/>
      <c r="B47" s="487"/>
      <c r="C47" s="487"/>
      <c r="D47" s="789"/>
      <c r="E47" s="789"/>
      <c r="F47" s="789"/>
      <c r="G47" s="789"/>
      <c r="H47" s="789"/>
      <c r="I47" s="789"/>
      <c r="J47" s="900"/>
      <c r="K47" s="789"/>
      <c r="L47" s="789"/>
      <c r="M47" s="831"/>
      <c r="N47" s="831"/>
    </row>
    <row r="48" spans="1:16">
      <c r="A48" s="771"/>
      <c r="B48" s="771"/>
      <c r="C48" s="786"/>
      <c r="D48" s="787"/>
      <c r="E48" s="787"/>
      <c r="F48" s="787"/>
      <c r="G48" s="787"/>
      <c r="H48" s="787"/>
      <c r="I48" s="787"/>
      <c r="J48" s="795"/>
      <c r="K48" s="787"/>
      <c r="L48" s="787"/>
      <c r="M48" s="826"/>
      <c r="N48" s="826"/>
    </row>
    <row r="49" spans="1:16" ht="16">
      <c r="A49" s="808" t="s">
        <v>595</v>
      </c>
      <c r="B49" s="952"/>
      <c r="C49" s="953"/>
      <c r="D49" s="789"/>
      <c r="E49" s="789"/>
      <c r="F49" s="789"/>
      <c r="G49" s="789"/>
      <c r="H49" s="789"/>
      <c r="I49" s="789"/>
      <c r="J49" s="795"/>
      <c r="K49" s="789"/>
      <c r="L49" s="789"/>
      <c r="M49" s="826"/>
      <c r="N49" s="826"/>
    </row>
    <row r="50" spans="1:16">
      <c r="A50" s="772">
        <v>1036</v>
      </c>
      <c r="B50" s="772" t="s">
        <v>1188</v>
      </c>
      <c r="C50" s="785" t="s">
        <v>596</v>
      </c>
      <c r="D50" s="784"/>
      <c r="E50" s="784"/>
      <c r="F50" s="784"/>
      <c r="G50" s="784"/>
      <c r="H50" s="784"/>
      <c r="I50" s="784"/>
      <c r="J50" s="803"/>
      <c r="K50" s="784"/>
      <c r="L50" s="784"/>
      <c r="M50" s="825"/>
      <c r="N50" s="825"/>
      <c r="O50" s="825">
        <v>95000</v>
      </c>
      <c r="P50" s="825"/>
    </row>
    <row r="51" spans="1:16">
      <c r="A51" s="947">
        <v>2212</v>
      </c>
      <c r="B51" s="948" t="s">
        <v>1188</v>
      </c>
      <c r="C51" s="807" t="s">
        <v>1198</v>
      </c>
      <c r="D51" s="902">
        <v>100000</v>
      </c>
      <c r="E51" s="902">
        <v>850000</v>
      </c>
      <c r="F51" s="902">
        <v>48062</v>
      </c>
      <c r="G51" s="956" t="e">
        <f>#REF!+320000-8943</f>
        <v>#REF!</v>
      </c>
      <c r="H51" s="902" t="e">
        <f>(G51+F51)</f>
        <v>#REF!</v>
      </c>
      <c r="I51" s="903">
        <v>50000</v>
      </c>
      <c r="J51" s="904">
        <v>800000</v>
      </c>
      <c r="K51" s="903">
        <v>1005157</v>
      </c>
      <c r="L51" s="903">
        <v>100000</v>
      </c>
      <c r="M51" s="853">
        <v>100000</v>
      </c>
      <c r="N51" s="853">
        <v>500000</v>
      </c>
      <c r="O51" s="853">
        <v>6500000</v>
      </c>
      <c r="P51" s="883">
        <v>12000000</v>
      </c>
    </row>
    <row r="52" spans="1:16">
      <c r="A52" s="773">
        <v>2219</v>
      </c>
      <c r="B52" s="772" t="s">
        <v>1188</v>
      </c>
      <c r="C52" s="785" t="s">
        <v>1199</v>
      </c>
      <c r="D52" s="784"/>
      <c r="E52" s="784">
        <v>400000</v>
      </c>
      <c r="F52" s="784"/>
      <c r="G52" s="784">
        <v>0</v>
      </c>
      <c r="H52" s="784">
        <f>G52+F52</f>
        <v>0</v>
      </c>
      <c r="I52" s="802">
        <v>50000</v>
      </c>
      <c r="J52" s="810"/>
      <c r="K52" s="802">
        <v>8803</v>
      </c>
      <c r="L52" s="802">
        <v>100000</v>
      </c>
      <c r="M52" s="825">
        <v>170000</v>
      </c>
      <c r="N52" s="825">
        <v>100000</v>
      </c>
      <c r="O52" s="825"/>
      <c r="P52" s="863"/>
    </row>
    <row r="53" spans="1:16">
      <c r="A53" s="773">
        <v>2221</v>
      </c>
      <c r="B53" s="772" t="s">
        <v>1188</v>
      </c>
      <c r="C53" s="785" t="s">
        <v>1200</v>
      </c>
      <c r="D53" s="784">
        <v>900000</v>
      </c>
      <c r="E53" s="784">
        <v>900000</v>
      </c>
      <c r="F53" s="784">
        <v>471613.32</v>
      </c>
      <c r="G53" s="784">
        <f t="shared" ref="G53:G102" si="11">E53-F53</f>
        <v>428386.68</v>
      </c>
      <c r="H53" s="784">
        <f t="shared" ref="H53:H124" si="12">G53+F53</f>
        <v>900000</v>
      </c>
      <c r="I53" s="802">
        <f>H53</f>
        <v>900000</v>
      </c>
      <c r="J53" s="810"/>
      <c r="K53" s="802">
        <v>794805</v>
      </c>
      <c r="L53" s="802">
        <v>900000</v>
      </c>
      <c r="M53" s="825">
        <v>900000</v>
      </c>
      <c r="N53" s="825">
        <v>900000</v>
      </c>
      <c r="O53" s="825">
        <v>900000</v>
      </c>
      <c r="P53" s="863">
        <v>900000</v>
      </c>
    </row>
    <row r="54" spans="1:16" hidden="1">
      <c r="A54" s="773">
        <v>2223</v>
      </c>
      <c r="B54" s="772">
        <v>5139</v>
      </c>
      <c r="C54" s="785" t="s">
        <v>601</v>
      </c>
      <c r="D54" s="784"/>
      <c r="E54" s="784"/>
      <c r="F54" s="784"/>
      <c r="G54" s="784"/>
      <c r="H54" s="784"/>
      <c r="I54" s="802"/>
      <c r="J54" s="810"/>
      <c r="K54" s="802"/>
      <c r="L54" s="802"/>
      <c r="M54" s="825"/>
      <c r="N54" s="825"/>
      <c r="O54" s="825">
        <v>60000</v>
      </c>
      <c r="P54" s="863"/>
    </row>
    <row r="55" spans="1:16" hidden="1">
      <c r="A55" s="773">
        <v>2223</v>
      </c>
      <c r="B55" s="772">
        <v>5169</v>
      </c>
      <c r="C55" s="785" t="s">
        <v>602</v>
      </c>
      <c r="D55" s="784"/>
      <c r="E55" s="784"/>
      <c r="F55" s="784"/>
      <c r="G55" s="784"/>
      <c r="H55" s="784"/>
      <c r="I55" s="802"/>
      <c r="J55" s="810"/>
      <c r="K55" s="802"/>
      <c r="L55" s="802"/>
      <c r="M55" s="825"/>
      <c r="N55" s="825"/>
      <c r="O55" s="825">
        <v>200000</v>
      </c>
      <c r="P55" s="863"/>
    </row>
    <row r="56" spans="1:16" hidden="1">
      <c r="A56" s="773">
        <v>2223</v>
      </c>
      <c r="B56" s="772">
        <v>5171</v>
      </c>
      <c r="C56" s="785" t="s">
        <v>603</v>
      </c>
      <c r="D56" s="784">
        <v>20000</v>
      </c>
      <c r="E56" s="784">
        <v>20000</v>
      </c>
      <c r="F56" s="784"/>
      <c r="G56" s="784">
        <f t="shared" si="11"/>
        <v>20000</v>
      </c>
      <c r="H56" s="784">
        <f t="shared" si="12"/>
        <v>20000</v>
      </c>
      <c r="I56" s="802">
        <f>H56</f>
        <v>20000</v>
      </c>
      <c r="J56" s="810"/>
      <c r="K56" s="802"/>
      <c r="L56" s="802">
        <v>20000</v>
      </c>
      <c r="M56" s="825">
        <v>1600000</v>
      </c>
      <c r="N56" s="825">
        <v>20000</v>
      </c>
      <c r="O56" s="825">
        <v>600000</v>
      </c>
      <c r="P56" s="863">
        <v>50000</v>
      </c>
    </row>
    <row r="57" spans="1:16" hidden="1">
      <c r="A57" s="836">
        <v>2223</v>
      </c>
      <c r="B57" s="837">
        <v>6121</v>
      </c>
      <c r="C57" s="838" t="s">
        <v>604</v>
      </c>
      <c r="D57" s="839"/>
      <c r="E57" s="839"/>
      <c r="F57" s="839"/>
      <c r="G57" s="839" t="e">
        <f>#REF!</f>
        <v>#REF!</v>
      </c>
      <c r="H57" s="839" t="e">
        <f t="shared" si="12"/>
        <v>#REF!</v>
      </c>
      <c r="I57" s="840" t="e">
        <f>#REF!</f>
        <v>#REF!</v>
      </c>
      <c r="J57" s="841"/>
      <c r="K57" s="840">
        <v>417871</v>
      </c>
      <c r="L57" s="840">
        <v>1150000</v>
      </c>
      <c r="M57" s="842">
        <v>80000</v>
      </c>
      <c r="N57" s="842">
        <f>330000+4750000+150000</f>
        <v>5230000</v>
      </c>
      <c r="O57" s="842">
        <v>3000000</v>
      </c>
      <c r="P57" s="901">
        <v>15000000</v>
      </c>
    </row>
    <row r="58" spans="1:16" s="120" customFormat="1">
      <c r="A58" s="773">
        <v>2223</v>
      </c>
      <c r="B58" s="772" t="s">
        <v>1188</v>
      </c>
      <c r="C58" s="785" t="s">
        <v>1201</v>
      </c>
      <c r="D58" s="784"/>
      <c r="E58" s="784"/>
      <c r="F58" s="784"/>
      <c r="G58" s="784"/>
      <c r="H58" s="784"/>
      <c r="I58" s="802"/>
      <c r="J58" s="810"/>
      <c r="K58" s="802"/>
      <c r="L58" s="802"/>
      <c r="M58" s="825"/>
      <c r="N58" s="825">
        <f>SUM(N54:N57)</f>
        <v>5250000</v>
      </c>
      <c r="O58" s="825">
        <f>SUM(O54:O57)</f>
        <v>3860000</v>
      </c>
      <c r="P58" s="863">
        <f>SUM(P54:P57)</f>
        <v>15050000</v>
      </c>
    </row>
    <row r="59" spans="1:16">
      <c r="A59" s="773">
        <v>2310</v>
      </c>
      <c r="B59" s="772" t="s">
        <v>1188</v>
      </c>
      <c r="C59" s="785" t="s">
        <v>1189</v>
      </c>
      <c r="D59" s="784">
        <v>5000</v>
      </c>
      <c r="E59" s="784">
        <v>5000</v>
      </c>
      <c r="F59" s="784">
        <v>5733</v>
      </c>
      <c r="G59" s="784">
        <v>0</v>
      </c>
      <c r="H59" s="784">
        <f t="shared" si="12"/>
        <v>5733</v>
      </c>
      <c r="I59" s="802">
        <f>H59</f>
        <v>5733</v>
      </c>
      <c r="J59" s="810"/>
      <c r="K59" s="802"/>
      <c r="L59" s="802">
        <v>2000</v>
      </c>
      <c r="M59" s="825">
        <v>67000</v>
      </c>
      <c r="N59" s="825">
        <v>50000</v>
      </c>
      <c r="O59" s="825">
        <v>20000</v>
      </c>
      <c r="P59" s="863">
        <v>50000</v>
      </c>
    </row>
    <row r="60" spans="1:16" hidden="1">
      <c r="A60" s="773">
        <v>2321</v>
      </c>
      <c r="B60" s="772">
        <v>5169</v>
      </c>
      <c r="C60" s="785" t="s">
        <v>607</v>
      </c>
      <c r="D60" s="784">
        <v>10000</v>
      </c>
      <c r="E60" s="784">
        <v>10000</v>
      </c>
      <c r="F60" s="784"/>
      <c r="G60" s="784">
        <f t="shared" si="11"/>
        <v>10000</v>
      </c>
      <c r="H60" s="784">
        <f t="shared" si="12"/>
        <v>10000</v>
      </c>
      <c r="I60" s="802">
        <f t="shared" ref="I60:I74" si="13">H60</f>
        <v>10000</v>
      </c>
      <c r="J60" s="810"/>
      <c r="K60" s="802">
        <v>19316</v>
      </c>
      <c r="L60" s="802">
        <v>20000</v>
      </c>
      <c r="M60" s="825"/>
      <c r="N60" s="825">
        <v>20000</v>
      </c>
      <c r="O60" s="825"/>
      <c r="P60" s="863">
        <v>100000</v>
      </c>
    </row>
    <row r="61" spans="1:16" hidden="1">
      <c r="A61" s="773">
        <v>2321</v>
      </c>
      <c r="B61" s="772">
        <v>5171</v>
      </c>
      <c r="C61" s="785" t="s">
        <v>608</v>
      </c>
      <c r="D61" s="784">
        <v>40000</v>
      </c>
      <c r="E61" s="784">
        <v>40000</v>
      </c>
      <c r="F61" s="784"/>
      <c r="G61" s="784">
        <f t="shared" si="11"/>
        <v>40000</v>
      </c>
      <c r="H61" s="784">
        <f t="shared" si="12"/>
        <v>40000</v>
      </c>
      <c r="I61" s="802">
        <f t="shared" si="13"/>
        <v>40000</v>
      </c>
      <c r="J61" s="810"/>
      <c r="K61" s="802">
        <v>14707</v>
      </c>
      <c r="L61" s="802">
        <v>40000</v>
      </c>
      <c r="M61" s="825">
        <v>40000</v>
      </c>
      <c r="N61" s="825">
        <v>500000</v>
      </c>
      <c r="O61" s="825">
        <v>10000</v>
      </c>
      <c r="P61" s="863">
        <v>800000</v>
      </c>
    </row>
    <row r="62" spans="1:16" hidden="1">
      <c r="A62" s="773">
        <v>2329</v>
      </c>
      <c r="B62" s="772">
        <v>5011</v>
      </c>
      <c r="C62" s="785" t="s">
        <v>610</v>
      </c>
      <c r="D62" s="784">
        <v>20000</v>
      </c>
      <c r="E62" s="784">
        <v>20000</v>
      </c>
      <c r="F62" s="784">
        <v>10400</v>
      </c>
      <c r="G62" s="784">
        <f t="shared" si="11"/>
        <v>9600</v>
      </c>
      <c r="H62" s="784">
        <f t="shared" si="12"/>
        <v>20000</v>
      </c>
      <c r="I62" s="802">
        <f t="shared" si="13"/>
        <v>20000</v>
      </c>
      <c r="J62" s="810"/>
      <c r="K62" s="802">
        <v>49419</v>
      </c>
      <c r="L62" s="802">
        <v>80000</v>
      </c>
      <c r="M62" s="825">
        <v>100000</v>
      </c>
      <c r="N62" s="825">
        <v>100000</v>
      </c>
      <c r="O62" s="825">
        <v>120000</v>
      </c>
      <c r="P62" s="863">
        <v>120000</v>
      </c>
    </row>
    <row r="63" spans="1:16" hidden="1">
      <c r="A63" s="773">
        <v>2329</v>
      </c>
      <c r="B63" s="772">
        <v>5021</v>
      </c>
      <c r="C63" s="785" t="s">
        <v>611</v>
      </c>
      <c r="D63" s="784">
        <v>30000</v>
      </c>
      <c r="E63" s="784">
        <v>30000</v>
      </c>
      <c r="F63" s="784">
        <v>30450</v>
      </c>
      <c r="G63" s="784">
        <v>0</v>
      </c>
      <c r="H63" s="784">
        <f t="shared" si="12"/>
        <v>30450</v>
      </c>
      <c r="I63" s="802">
        <f t="shared" si="13"/>
        <v>30450</v>
      </c>
      <c r="J63" s="810"/>
      <c r="K63" s="802">
        <v>45391</v>
      </c>
      <c r="L63" s="802">
        <v>60000</v>
      </c>
      <c r="M63" s="825">
        <v>50000</v>
      </c>
      <c r="N63" s="825">
        <v>50000</v>
      </c>
      <c r="O63" s="825">
        <v>60000</v>
      </c>
      <c r="P63" s="863">
        <v>60000</v>
      </c>
    </row>
    <row r="64" spans="1:16" hidden="1">
      <c r="A64" s="773">
        <v>2329</v>
      </c>
      <c r="B64" s="772">
        <v>5031</v>
      </c>
      <c r="C64" s="785" t="s">
        <v>612</v>
      </c>
      <c r="D64" s="784">
        <v>12000</v>
      </c>
      <c r="E64" s="784">
        <v>12000</v>
      </c>
      <c r="F64" s="784">
        <v>2590</v>
      </c>
      <c r="G64" s="784">
        <f t="shared" si="11"/>
        <v>9410</v>
      </c>
      <c r="H64" s="784">
        <f t="shared" si="12"/>
        <v>12000</v>
      </c>
      <c r="I64" s="802">
        <f t="shared" si="13"/>
        <v>12000</v>
      </c>
      <c r="J64" s="810"/>
      <c r="K64" s="802">
        <v>3682</v>
      </c>
      <c r="L64" s="802">
        <v>12000</v>
      </c>
      <c r="M64" s="825">
        <v>10000</v>
      </c>
      <c r="N64" s="825">
        <v>10000</v>
      </c>
      <c r="O64" s="825">
        <v>10000</v>
      </c>
      <c r="P64" s="863">
        <v>10000</v>
      </c>
    </row>
    <row r="65" spans="1:16" hidden="1">
      <c r="A65" s="773">
        <v>2329</v>
      </c>
      <c r="B65" s="772">
        <v>5032</v>
      </c>
      <c r="C65" s="785" t="s">
        <v>613</v>
      </c>
      <c r="D65" s="784">
        <v>8000</v>
      </c>
      <c r="E65" s="784">
        <v>8000</v>
      </c>
      <c r="F65" s="784">
        <v>936</v>
      </c>
      <c r="G65" s="784">
        <f t="shared" si="11"/>
        <v>7064</v>
      </c>
      <c r="H65" s="784">
        <f t="shared" si="12"/>
        <v>8000</v>
      </c>
      <c r="I65" s="802">
        <f t="shared" si="13"/>
        <v>8000</v>
      </c>
      <c r="J65" s="810"/>
      <c r="K65" s="802">
        <v>1337</v>
      </c>
      <c r="L65" s="802">
        <v>8000</v>
      </c>
      <c r="M65" s="825">
        <v>5000</v>
      </c>
      <c r="N65" s="825">
        <v>5000</v>
      </c>
      <c r="O65" s="825">
        <v>5000</v>
      </c>
      <c r="P65" s="863">
        <v>5000</v>
      </c>
    </row>
    <row r="66" spans="1:16" hidden="1">
      <c r="A66" s="773">
        <v>2329</v>
      </c>
      <c r="B66" s="772">
        <v>5139</v>
      </c>
      <c r="C66" s="785" t="s">
        <v>614</v>
      </c>
      <c r="D66" s="784">
        <v>5000</v>
      </c>
      <c r="E66" s="784">
        <v>25000</v>
      </c>
      <c r="F66" s="784">
        <v>22620</v>
      </c>
      <c r="G66" s="784">
        <f t="shared" si="11"/>
        <v>2380</v>
      </c>
      <c r="H66" s="784">
        <f t="shared" si="12"/>
        <v>25000</v>
      </c>
      <c r="I66" s="802">
        <f t="shared" si="13"/>
        <v>25000</v>
      </c>
      <c r="J66" s="810"/>
      <c r="K66" s="802">
        <v>39540</v>
      </c>
      <c r="L66" s="802">
        <v>56000</v>
      </c>
      <c r="M66" s="825">
        <v>140000</v>
      </c>
      <c r="N66" s="825">
        <v>140000</v>
      </c>
      <c r="O66" s="825">
        <v>140000</v>
      </c>
      <c r="P66" s="863">
        <v>140000</v>
      </c>
    </row>
    <row r="67" spans="1:16" hidden="1">
      <c r="A67" s="773">
        <v>2329</v>
      </c>
      <c r="B67" s="772">
        <v>5154</v>
      </c>
      <c r="C67" s="785" t="s">
        <v>615</v>
      </c>
      <c r="D67" s="784">
        <v>300000</v>
      </c>
      <c r="E67" s="784">
        <v>300000</v>
      </c>
      <c r="F67" s="784">
        <v>245523.26</v>
      </c>
      <c r="G67" s="784">
        <f t="shared" si="11"/>
        <v>54476.739999999991</v>
      </c>
      <c r="H67" s="784">
        <f t="shared" si="12"/>
        <v>300000</v>
      </c>
      <c r="I67" s="802">
        <f t="shared" si="13"/>
        <v>300000</v>
      </c>
      <c r="J67" s="810"/>
      <c r="K67" s="802">
        <v>357221</v>
      </c>
      <c r="L67" s="802">
        <v>400000</v>
      </c>
      <c r="M67" s="825">
        <v>1300000</v>
      </c>
      <c r="N67" s="825">
        <v>1400000</v>
      </c>
      <c r="O67" s="825">
        <v>1000000</v>
      </c>
      <c r="P67" s="863">
        <v>1000000</v>
      </c>
    </row>
    <row r="68" spans="1:16" hidden="1">
      <c r="A68" s="773">
        <v>2329</v>
      </c>
      <c r="B68" s="772">
        <v>5151</v>
      </c>
      <c r="C68" s="785" t="s">
        <v>616</v>
      </c>
      <c r="D68" s="784"/>
      <c r="E68" s="784"/>
      <c r="F68" s="784">
        <v>49320</v>
      </c>
      <c r="G68" s="784">
        <f>60000-F68</f>
        <v>10680</v>
      </c>
      <c r="H68" s="784">
        <f t="shared" si="12"/>
        <v>60000</v>
      </c>
      <c r="I68" s="802">
        <f t="shared" si="13"/>
        <v>60000</v>
      </c>
      <c r="J68" s="810"/>
      <c r="K68" s="802"/>
      <c r="L68" s="802">
        <v>10000</v>
      </c>
      <c r="M68" s="825">
        <v>10000</v>
      </c>
      <c r="N68" s="825">
        <v>10000</v>
      </c>
      <c r="O68" s="825"/>
      <c r="P68" s="863"/>
    </row>
    <row r="69" spans="1:16" hidden="1">
      <c r="A69" s="773">
        <v>2329</v>
      </c>
      <c r="B69" s="772">
        <v>5169</v>
      </c>
      <c r="C69" s="785" t="s">
        <v>617</v>
      </c>
      <c r="D69" s="784">
        <v>750000</v>
      </c>
      <c r="E69" s="784">
        <v>750000</v>
      </c>
      <c r="F69" s="784">
        <v>274259.26</v>
      </c>
      <c r="G69" s="784">
        <f t="shared" si="11"/>
        <v>475740.74</v>
      </c>
      <c r="H69" s="784">
        <f t="shared" si="12"/>
        <v>750000</v>
      </c>
      <c r="I69" s="802">
        <f t="shared" si="13"/>
        <v>750000</v>
      </c>
      <c r="J69" s="810"/>
      <c r="K69" s="802">
        <v>376997</v>
      </c>
      <c r="L69" s="802">
        <v>510000</v>
      </c>
      <c r="M69" s="825">
        <v>500000</v>
      </c>
      <c r="N69" s="825">
        <v>500000</v>
      </c>
      <c r="O69" s="825">
        <v>500000</v>
      </c>
      <c r="P69" s="863">
        <v>500000</v>
      </c>
    </row>
    <row r="70" spans="1:16" hidden="1">
      <c r="A70" s="773">
        <v>2329</v>
      </c>
      <c r="B70" s="772">
        <v>5171</v>
      </c>
      <c r="C70" s="785" t="s">
        <v>618</v>
      </c>
      <c r="D70" s="784">
        <v>100000</v>
      </c>
      <c r="E70" s="784">
        <v>100000</v>
      </c>
      <c r="F70" s="784">
        <v>73498.52</v>
      </c>
      <c r="G70" s="784">
        <f t="shared" si="11"/>
        <v>26501.479999999996</v>
      </c>
      <c r="H70" s="784">
        <f t="shared" si="12"/>
        <v>100000</v>
      </c>
      <c r="I70" s="802">
        <f t="shared" si="13"/>
        <v>100000</v>
      </c>
      <c r="J70" s="810"/>
      <c r="K70" s="802">
        <v>144713</v>
      </c>
      <c r="L70" s="802">
        <v>150000</v>
      </c>
      <c r="M70" s="825">
        <v>220000</v>
      </c>
      <c r="N70" s="825">
        <v>200000</v>
      </c>
      <c r="O70" s="825">
        <v>350000</v>
      </c>
      <c r="P70" s="863">
        <v>350000</v>
      </c>
    </row>
    <row r="71" spans="1:16" hidden="1">
      <c r="A71" s="773">
        <v>2329</v>
      </c>
      <c r="B71" s="772">
        <v>5362</v>
      </c>
      <c r="C71" s="785" t="s">
        <v>619</v>
      </c>
      <c r="D71" s="784">
        <v>30000</v>
      </c>
      <c r="E71" s="784">
        <v>30000</v>
      </c>
      <c r="F71" s="784"/>
      <c r="G71" s="784">
        <f t="shared" si="11"/>
        <v>30000</v>
      </c>
      <c r="H71" s="784">
        <f t="shared" si="12"/>
        <v>30000</v>
      </c>
      <c r="I71" s="802">
        <f t="shared" si="13"/>
        <v>30000</v>
      </c>
      <c r="J71" s="810"/>
      <c r="K71" s="802">
        <v>21725</v>
      </c>
      <c r="L71" s="802">
        <v>25000</v>
      </c>
      <c r="M71" s="825">
        <v>25000</v>
      </c>
      <c r="N71" s="825">
        <v>25000</v>
      </c>
      <c r="O71" s="825">
        <v>22000</v>
      </c>
      <c r="P71" s="863">
        <v>25000</v>
      </c>
    </row>
    <row r="72" spans="1:16" hidden="1">
      <c r="A72" s="836">
        <v>2329</v>
      </c>
      <c r="B72" s="837">
        <v>6121</v>
      </c>
      <c r="C72" s="838" t="s">
        <v>620</v>
      </c>
      <c r="D72" s="839"/>
      <c r="E72" s="839"/>
      <c r="F72" s="839"/>
      <c r="G72" s="839"/>
      <c r="H72" s="839"/>
      <c r="I72" s="840"/>
      <c r="J72" s="841"/>
      <c r="K72" s="840">
        <v>613175</v>
      </c>
      <c r="L72" s="840"/>
      <c r="M72" s="842">
        <v>180000</v>
      </c>
      <c r="N72" s="842">
        <v>150000</v>
      </c>
      <c r="O72" s="842"/>
      <c r="P72" s="901"/>
    </row>
    <row r="73" spans="1:16" s="120" customFormat="1">
      <c r="A73" s="773" t="s">
        <v>1202</v>
      </c>
      <c r="B73" s="772" t="s">
        <v>1188</v>
      </c>
      <c r="C73" s="785" t="s">
        <v>1190</v>
      </c>
      <c r="D73" s="784"/>
      <c r="E73" s="784"/>
      <c r="F73" s="784"/>
      <c r="G73" s="784"/>
      <c r="H73" s="784"/>
      <c r="I73" s="802"/>
      <c r="J73" s="810"/>
      <c r="K73" s="802"/>
      <c r="L73" s="802"/>
      <c r="M73" s="825"/>
      <c r="N73" s="825">
        <f>SUM(N60:N72)</f>
        <v>3110000</v>
      </c>
      <c r="O73" s="825">
        <f>SUM(O60:O72)</f>
        <v>2217000</v>
      </c>
      <c r="P73" s="863">
        <f>SUM(P60:P72)</f>
        <v>3110000</v>
      </c>
    </row>
    <row r="74" spans="1:16" hidden="1">
      <c r="A74" s="773">
        <v>2334</v>
      </c>
      <c r="B74" s="772">
        <v>5171</v>
      </c>
      <c r="C74" s="785" t="s">
        <v>621</v>
      </c>
      <c r="D74" s="784">
        <v>50000</v>
      </c>
      <c r="E74" s="784">
        <v>200000</v>
      </c>
      <c r="F74" s="784">
        <v>29597</v>
      </c>
      <c r="G74" s="784">
        <f t="shared" si="11"/>
        <v>170403</v>
      </c>
      <c r="H74" s="784">
        <f t="shared" si="12"/>
        <v>200000</v>
      </c>
      <c r="I74" s="802">
        <f t="shared" si="13"/>
        <v>200000</v>
      </c>
      <c r="J74" s="810"/>
      <c r="K74" s="802">
        <v>81053</v>
      </c>
      <c r="L74" s="802">
        <v>100000</v>
      </c>
      <c r="M74" s="825">
        <v>10000</v>
      </c>
      <c r="N74" s="825">
        <v>100000</v>
      </c>
      <c r="O74" s="825">
        <v>100000</v>
      </c>
      <c r="P74" s="863">
        <v>100000</v>
      </c>
    </row>
    <row r="75" spans="1:16" hidden="1">
      <c r="A75" s="836">
        <v>2334</v>
      </c>
      <c r="B75" s="837">
        <v>6121</v>
      </c>
      <c r="C75" s="838" t="s">
        <v>622</v>
      </c>
      <c r="D75" s="839"/>
      <c r="E75" s="839"/>
      <c r="F75" s="839"/>
      <c r="G75" s="839" t="e">
        <f>#REF!</f>
        <v>#REF!</v>
      </c>
      <c r="H75" s="839" t="e">
        <f t="shared" si="12"/>
        <v>#REF!</v>
      </c>
      <c r="I75" s="840" t="e">
        <f>#REF!</f>
        <v>#REF!</v>
      </c>
      <c r="J75" s="841"/>
      <c r="K75" s="840"/>
      <c r="L75" s="840">
        <v>4900000</v>
      </c>
      <c r="M75" s="842">
        <v>340000</v>
      </c>
      <c r="N75" s="842">
        <v>30000</v>
      </c>
      <c r="O75" s="842">
        <v>250000</v>
      </c>
      <c r="P75" s="901">
        <v>2500000</v>
      </c>
    </row>
    <row r="76" spans="1:16" s="120" customFormat="1">
      <c r="A76" s="773">
        <v>2334</v>
      </c>
      <c r="B76" s="772" t="s">
        <v>1188</v>
      </c>
      <c r="C76" s="785" t="s">
        <v>1203</v>
      </c>
      <c r="D76" s="784"/>
      <c r="E76" s="784"/>
      <c r="F76" s="784"/>
      <c r="G76" s="784"/>
      <c r="H76" s="784"/>
      <c r="I76" s="802"/>
      <c r="J76" s="810"/>
      <c r="K76" s="802"/>
      <c r="L76" s="802"/>
      <c r="M76" s="825"/>
      <c r="N76" s="825">
        <f>SUM(N74:N75)</f>
        <v>130000</v>
      </c>
      <c r="O76" s="825">
        <f>SUM(O74:O75)</f>
        <v>350000</v>
      </c>
      <c r="P76" s="863">
        <f>SUM(P74:P75)</f>
        <v>2600000</v>
      </c>
    </row>
    <row r="77" spans="1:16" hidden="1">
      <c r="A77" s="773">
        <v>3111</v>
      </c>
      <c r="B77" s="772">
        <v>5137</v>
      </c>
      <c r="C77" s="785" t="s">
        <v>624</v>
      </c>
      <c r="D77" s="784"/>
      <c r="E77" s="784">
        <v>2500000</v>
      </c>
      <c r="F77" s="784">
        <v>890909.21</v>
      </c>
      <c r="G77" s="784">
        <f t="shared" si="11"/>
        <v>1609090.79</v>
      </c>
      <c r="H77" s="784">
        <f t="shared" si="12"/>
        <v>2500000</v>
      </c>
      <c r="I77" s="802">
        <v>0</v>
      </c>
      <c r="J77" s="810"/>
      <c r="K77" s="802"/>
      <c r="L77" s="802"/>
      <c r="M77" s="825"/>
      <c r="N77" s="825"/>
      <c r="O77" s="825"/>
      <c r="P77" s="863"/>
    </row>
    <row r="78" spans="1:16" hidden="1">
      <c r="A78" s="773">
        <v>3111</v>
      </c>
      <c r="B78" s="772">
        <v>5139</v>
      </c>
      <c r="C78" s="785" t="s">
        <v>625</v>
      </c>
      <c r="D78" s="784"/>
      <c r="E78" s="784">
        <v>50000</v>
      </c>
      <c r="F78" s="784">
        <v>232473.4</v>
      </c>
      <c r="G78" s="784">
        <f>235000-F78</f>
        <v>2526.6000000000058</v>
      </c>
      <c r="H78" s="784">
        <f t="shared" si="12"/>
        <v>235000</v>
      </c>
      <c r="I78" s="802">
        <v>0</v>
      </c>
      <c r="J78" s="810"/>
      <c r="K78" s="802"/>
      <c r="L78" s="802"/>
      <c r="M78" s="825"/>
      <c r="N78" s="825"/>
      <c r="O78" s="825"/>
      <c r="P78" s="863"/>
    </row>
    <row r="79" spans="1:16" hidden="1">
      <c r="A79" s="773">
        <v>3111</v>
      </c>
      <c r="B79" s="772">
        <v>5153</v>
      </c>
      <c r="C79" s="785" t="s">
        <v>626</v>
      </c>
      <c r="D79" s="784"/>
      <c r="E79" s="784"/>
      <c r="F79" s="784">
        <v>16000</v>
      </c>
      <c r="G79" s="784">
        <f>20000-F79</f>
        <v>4000</v>
      </c>
      <c r="H79" s="784">
        <f t="shared" si="12"/>
        <v>20000</v>
      </c>
      <c r="I79" s="802">
        <v>0</v>
      </c>
      <c r="J79" s="810"/>
      <c r="K79" s="802"/>
      <c r="L79" s="802"/>
      <c r="M79" s="825"/>
      <c r="N79" s="825"/>
      <c r="O79" s="825"/>
      <c r="P79" s="863"/>
    </row>
    <row r="80" spans="1:16" hidden="1">
      <c r="A80" s="773">
        <v>3111</v>
      </c>
      <c r="B80" s="772">
        <v>5169</v>
      </c>
      <c r="C80" s="785" t="s">
        <v>627</v>
      </c>
      <c r="D80" s="784"/>
      <c r="E80" s="784">
        <v>50000</v>
      </c>
      <c r="F80" s="784">
        <v>40465.4</v>
      </c>
      <c r="G80" s="784">
        <f t="shared" si="11"/>
        <v>9534.5999999999985</v>
      </c>
      <c r="H80" s="784">
        <f t="shared" si="12"/>
        <v>50000</v>
      </c>
      <c r="I80" s="802">
        <v>0</v>
      </c>
      <c r="J80" s="810"/>
      <c r="K80" s="802"/>
      <c r="L80" s="802"/>
      <c r="M80" s="825"/>
      <c r="N80" s="825"/>
      <c r="O80" s="825"/>
      <c r="P80" s="863"/>
    </row>
    <row r="81" spans="1:16" hidden="1">
      <c r="A81" s="773">
        <v>3111</v>
      </c>
      <c r="B81" s="772">
        <v>5175</v>
      </c>
      <c r="C81" s="785" t="s">
        <v>628</v>
      </c>
      <c r="D81" s="784"/>
      <c r="E81" s="784"/>
      <c r="F81" s="784">
        <v>8959.75</v>
      </c>
      <c r="G81" s="784">
        <f>10000-F81</f>
        <v>1040.25</v>
      </c>
      <c r="H81" s="784">
        <f t="shared" si="12"/>
        <v>10000</v>
      </c>
      <c r="I81" s="802">
        <v>0</v>
      </c>
      <c r="J81" s="810"/>
      <c r="K81" s="802"/>
      <c r="L81" s="802"/>
      <c r="M81" s="825"/>
      <c r="N81" s="825"/>
      <c r="O81" s="825"/>
      <c r="P81" s="863"/>
    </row>
    <row r="82" spans="1:16" hidden="1">
      <c r="A82" s="773">
        <v>3111</v>
      </c>
      <c r="B82" s="821">
        <v>5154</v>
      </c>
      <c r="C82" s="785" t="s">
        <v>629</v>
      </c>
      <c r="D82" s="784"/>
      <c r="E82" s="784"/>
      <c r="F82" s="784"/>
      <c r="G82" s="784"/>
      <c r="H82" s="784"/>
      <c r="I82" s="802"/>
      <c r="J82" s="811"/>
      <c r="K82" s="802">
        <v>15870</v>
      </c>
      <c r="L82" s="802"/>
      <c r="M82" s="825"/>
      <c r="N82" s="825"/>
      <c r="O82" s="825"/>
      <c r="P82" s="863"/>
    </row>
    <row r="83" spans="1:16" hidden="1">
      <c r="A83" s="773">
        <v>3111</v>
      </c>
      <c r="B83" s="821">
        <v>5162</v>
      </c>
      <c r="C83" s="785" t="s">
        <v>630</v>
      </c>
      <c r="D83" s="784"/>
      <c r="E83" s="784"/>
      <c r="F83" s="784"/>
      <c r="G83" s="784"/>
      <c r="H83" s="784"/>
      <c r="I83" s="802"/>
      <c r="J83" s="811"/>
      <c r="K83" s="802">
        <v>11437</v>
      </c>
      <c r="L83" s="802">
        <v>30000</v>
      </c>
      <c r="M83" s="825">
        <v>40000</v>
      </c>
      <c r="N83" s="825">
        <v>40000</v>
      </c>
      <c r="O83" s="825">
        <v>40000</v>
      </c>
      <c r="P83" s="863">
        <v>40000</v>
      </c>
    </row>
    <row r="84" spans="1:16" hidden="1">
      <c r="A84" s="773">
        <v>3111</v>
      </c>
      <c r="B84" s="772">
        <v>5331</v>
      </c>
      <c r="C84" s="785" t="s">
        <v>631</v>
      </c>
      <c r="D84" s="784"/>
      <c r="E84" s="784">
        <v>499200</v>
      </c>
      <c r="F84" s="784"/>
      <c r="G84" s="784">
        <f t="shared" si="11"/>
        <v>499200</v>
      </c>
      <c r="H84" s="784">
        <f t="shared" si="12"/>
        <v>499200</v>
      </c>
      <c r="I84" s="802">
        <f>1300*96*12</f>
        <v>1497600</v>
      </c>
      <c r="J84" s="810"/>
      <c r="K84" s="802">
        <v>1123200</v>
      </c>
      <c r="L84" s="802">
        <v>956700</v>
      </c>
      <c r="M84" s="825">
        <v>956700</v>
      </c>
      <c r="N84" s="825">
        <v>1313700</v>
      </c>
      <c r="O84" s="825">
        <v>1313700</v>
      </c>
      <c r="P84" s="863">
        <v>1474000</v>
      </c>
    </row>
    <row r="85" spans="1:16" hidden="1">
      <c r="A85" s="836">
        <v>3111</v>
      </c>
      <c r="B85" s="837">
        <v>6121</v>
      </c>
      <c r="C85" s="838" t="s">
        <v>632</v>
      </c>
      <c r="D85" s="839">
        <f>20000000+10000000</f>
        <v>30000000</v>
      </c>
      <c r="E85" s="839">
        <v>26500000</v>
      </c>
      <c r="F85" s="839">
        <v>24569003.579999998</v>
      </c>
      <c r="G85" s="839">
        <v>0</v>
      </c>
      <c r="H85" s="839">
        <f t="shared" si="12"/>
        <v>24569003.579999998</v>
      </c>
      <c r="I85" s="840" t="e">
        <f>#REF!</f>
        <v>#REF!</v>
      </c>
      <c r="J85" s="846"/>
      <c r="K85" s="840"/>
      <c r="L85" s="840">
        <v>0</v>
      </c>
      <c r="M85" s="845"/>
      <c r="N85" s="845"/>
      <c r="O85" s="845"/>
      <c r="P85" s="901">
        <v>600000</v>
      </c>
    </row>
    <row r="86" spans="1:16" s="120" customFormat="1">
      <c r="A86" s="773">
        <v>3111</v>
      </c>
      <c r="B86" s="772" t="s">
        <v>1188</v>
      </c>
      <c r="C86" s="785" t="s">
        <v>1204</v>
      </c>
      <c r="D86" s="784"/>
      <c r="E86" s="784"/>
      <c r="F86" s="784"/>
      <c r="G86" s="784"/>
      <c r="H86" s="784"/>
      <c r="I86" s="802"/>
      <c r="J86" s="810"/>
      <c r="K86" s="802"/>
      <c r="L86" s="802"/>
      <c r="M86" s="825"/>
      <c r="N86" s="825">
        <f>SUM(N77:N85)</f>
        <v>1353700</v>
      </c>
      <c r="O86" s="825">
        <f>SUM(O77:O85)</f>
        <v>1353700</v>
      </c>
      <c r="P86" s="863">
        <f>SUM(P77:P85)</f>
        <v>2114000</v>
      </c>
    </row>
    <row r="87" spans="1:16" hidden="1">
      <c r="A87" s="773">
        <v>3113</v>
      </c>
      <c r="B87" s="772">
        <v>5169</v>
      </c>
      <c r="C87" s="785" t="s">
        <v>634</v>
      </c>
      <c r="D87" s="784"/>
      <c r="E87" s="784"/>
      <c r="F87" s="784"/>
      <c r="G87" s="784"/>
      <c r="H87" s="784"/>
      <c r="I87" s="802"/>
      <c r="J87" s="810"/>
      <c r="K87" s="802"/>
      <c r="L87" s="802"/>
      <c r="M87" s="825">
        <v>600000</v>
      </c>
      <c r="N87" s="825"/>
      <c r="O87" s="825">
        <v>40000</v>
      </c>
      <c r="P87" s="863"/>
    </row>
    <row r="88" spans="1:16" hidden="1">
      <c r="A88" s="892">
        <v>3113</v>
      </c>
      <c r="B88" s="893">
        <v>6121</v>
      </c>
      <c r="C88" s="894" t="s">
        <v>635</v>
      </c>
      <c r="D88" s="895"/>
      <c r="E88" s="895"/>
      <c r="F88" s="895"/>
      <c r="G88" s="895"/>
      <c r="H88" s="895"/>
      <c r="I88" s="896"/>
      <c r="J88" s="905"/>
      <c r="K88" s="896"/>
      <c r="L88" s="896"/>
      <c r="M88" s="898"/>
      <c r="N88" s="898">
        <v>300000</v>
      </c>
      <c r="O88" s="890"/>
      <c r="P88" s="891"/>
    </row>
    <row r="89" spans="1:16" hidden="1">
      <c r="A89" s="836">
        <v>3113</v>
      </c>
      <c r="B89" s="837">
        <v>6351</v>
      </c>
      <c r="C89" s="838" t="s">
        <v>636</v>
      </c>
      <c r="D89" s="839">
        <v>2000000</v>
      </c>
      <c r="E89" s="839">
        <v>2000000</v>
      </c>
      <c r="F89" s="839"/>
      <c r="G89" s="839" t="e">
        <f>#REF!</f>
        <v>#REF!</v>
      </c>
      <c r="H89" s="839" t="e">
        <f t="shared" si="12"/>
        <v>#REF!</v>
      </c>
      <c r="I89" s="840" t="e">
        <f>#REF!</f>
        <v>#REF!</v>
      </c>
      <c r="J89" s="846"/>
      <c r="K89" s="840">
        <v>60355</v>
      </c>
      <c r="L89" s="840">
        <v>600000</v>
      </c>
      <c r="M89" s="842">
        <v>1500000</v>
      </c>
      <c r="N89" s="842">
        <v>3100000</v>
      </c>
      <c r="O89" s="842">
        <v>500000</v>
      </c>
      <c r="P89" s="901">
        <v>1000000</v>
      </c>
    </row>
    <row r="90" spans="1:16" s="120" customFormat="1">
      <c r="A90" s="773">
        <v>3113</v>
      </c>
      <c r="B90" s="772" t="s">
        <v>1188</v>
      </c>
      <c r="C90" s="785" t="s">
        <v>1205</v>
      </c>
      <c r="D90" s="784"/>
      <c r="E90" s="784"/>
      <c r="F90" s="784"/>
      <c r="G90" s="784"/>
      <c r="H90" s="784"/>
      <c r="I90" s="802"/>
      <c r="J90" s="810"/>
      <c r="K90" s="802"/>
      <c r="L90" s="802"/>
      <c r="M90" s="825"/>
      <c r="N90" s="825">
        <f>SUM(N87:N89)</f>
        <v>3400000</v>
      </c>
      <c r="O90" s="825">
        <f>SUM(O87:O89)</f>
        <v>540000</v>
      </c>
      <c r="P90" s="863">
        <f>SUM(P87:P89)</f>
        <v>1000000</v>
      </c>
    </row>
    <row r="91" spans="1:16">
      <c r="A91" s="773">
        <v>3326</v>
      </c>
      <c r="B91" s="772" t="s">
        <v>1188</v>
      </c>
      <c r="C91" s="785" t="s">
        <v>1206</v>
      </c>
      <c r="D91" s="784"/>
      <c r="E91" s="784"/>
      <c r="F91" s="784"/>
      <c r="G91" s="784"/>
      <c r="H91" s="784"/>
      <c r="I91" s="802"/>
      <c r="J91" s="810"/>
      <c r="K91" s="802"/>
      <c r="L91" s="802"/>
      <c r="M91" s="825"/>
      <c r="N91" s="825"/>
      <c r="O91" s="825"/>
      <c r="P91" s="863">
        <v>300000</v>
      </c>
    </row>
    <row r="92" spans="1:16" hidden="1">
      <c r="A92" s="773">
        <v>3399</v>
      </c>
      <c r="B92" s="772">
        <v>5139</v>
      </c>
      <c r="C92" s="785" t="s">
        <v>639</v>
      </c>
      <c r="D92" s="784">
        <v>40000</v>
      </c>
      <c r="E92" s="784">
        <v>40000</v>
      </c>
      <c r="F92" s="784"/>
      <c r="G92" s="784">
        <f t="shared" si="11"/>
        <v>40000</v>
      </c>
      <c r="H92" s="784">
        <f t="shared" si="12"/>
        <v>40000</v>
      </c>
      <c r="I92" s="802">
        <f t="shared" ref="I92:I106" si="14">H92</f>
        <v>40000</v>
      </c>
      <c r="J92" s="810"/>
      <c r="K92" s="802"/>
      <c r="L92" s="802">
        <v>40000</v>
      </c>
      <c r="M92" s="825">
        <v>20000</v>
      </c>
      <c r="N92" s="825">
        <v>40000</v>
      </c>
      <c r="O92" s="825">
        <v>40000</v>
      </c>
      <c r="P92" s="863">
        <v>40000</v>
      </c>
    </row>
    <row r="93" spans="1:16" hidden="1">
      <c r="A93" s="773">
        <v>3399</v>
      </c>
      <c r="B93" s="772">
        <v>5169</v>
      </c>
      <c r="C93" s="785" t="s">
        <v>640</v>
      </c>
      <c r="D93" s="784">
        <v>20000</v>
      </c>
      <c r="E93" s="784">
        <v>20000</v>
      </c>
      <c r="F93" s="784">
        <v>32166</v>
      </c>
      <c r="G93" s="784">
        <v>0</v>
      </c>
      <c r="H93" s="784">
        <f t="shared" si="12"/>
        <v>32166</v>
      </c>
      <c r="I93" s="802">
        <f t="shared" si="14"/>
        <v>32166</v>
      </c>
      <c r="J93" s="810"/>
      <c r="K93" s="802">
        <v>64530</v>
      </c>
      <c r="L93" s="802">
        <v>65000</v>
      </c>
      <c r="M93" s="825">
        <v>65000</v>
      </c>
      <c r="N93" s="825">
        <v>65000</v>
      </c>
      <c r="O93" s="825">
        <v>140000</v>
      </c>
      <c r="P93" s="863">
        <v>140000</v>
      </c>
    </row>
    <row r="94" spans="1:16" hidden="1">
      <c r="A94" s="773">
        <v>3399</v>
      </c>
      <c r="B94" s="772">
        <v>5175</v>
      </c>
      <c r="C94" s="785" t="s">
        <v>641</v>
      </c>
      <c r="D94" s="784">
        <v>100000</v>
      </c>
      <c r="E94" s="784">
        <v>100000</v>
      </c>
      <c r="F94" s="784">
        <v>50556</v>
      </c>
      <c r="G94" s="784">
        <f t="shared" si="11"/>
        <v>49444</v>
      </c>
      <c r="H94" s="784">
        <f t="shared" si="12"/>
        <v>100000</v>
      </c>
      <c r="I94" s="802">
        <f t="shared" si="14"/>
        <v>100000</v>
      </c>
      <c r="J94" s="810"/>
      <c r="K94" s="802">
        <v>45610</v>
      </c>
      <c r="L94" s="802">
        <v>100000</v>
      </c>
      <c r="M94" s="825">
        <v>80000</v>
      </c>
      <c r="N94" s="825">
        <v>100000</v>
      </c>
      <c r="O94" s="825">
        <v>30000</v>
      </c>
      <c r="P94" s="863">
        <v>50000</v>
      </c>
    </row>
    <row r="95" spans="1:16" hidden="1">
      <c r="A95" s="773">
        <v>3399</v>
      </c>
      <c r="B95" s="772">
        <v>5194</v>
      </c>
      <c r="C95" s="785" t="s">
        <v>642</v>
      </c>
      <c r="D95" s="784">
        <v>15000</v>
      </c>
      <c r="E95" s="784">
        <v>15000</v>
      </c>
      <c r="F95" s="784">
        <v>14779</v>
      </c>
      <c r="G95" s="784">
        <f t="shared" si="11"/>
        <v>221</v>
      </c>
      <c r="H95" s="784">
        <f t="shared" si="12"/>
        <v>15000</v>
      </c>
      <c r="I95" s="802">
        <f t="shared" si="14"/>
        <v>15000</v>
      </c>
      <c r="J95" s="810"/>
      <c r="K95" s="802">
        <v>20000</v>
      </c>
      <c r="L95" s="802">
        <v>20000</v>
      </c>
      <c r="M95" s="825">
        <v>70000</v>
      </c>
      <c r="N95" s="825">
        <v>40000</v>
      </c>
      <c r="O95" s="825">
        <v>40000</v>
      </c>
      <c r="P95" s="863">
        <v>40000</v>
      </c>
    </row>
    <row r="96" spans="1:16">
      <c r="A96" s="773">
        <v>3399</v>
      </c>
      <c r="B96" s="772" t="s">
        <v>1188</v>
      </c>
      <c r="C96" s="785" t="s">
        <v>1207</v>
      </c>
      <c r="D96" s="784"/>
      <c r="E96" s="784"/>
      <c r="F96" s="784"/>
      <c r="G96" s="784"/>
      <c r="H96" s="784"/>
      <c r="I96" s="802"/>
      <c r="J96" s="810"/>
      <c r="K96" s="802"/>
      <c r="L96" s="802"/>
      <c r="M96" s="825"/>
      <c r="N96" s="825">
        <f>SUM(N92:N95)</f>
        <v>245000</v>
      </c>
      <c r="O96" s="825">
        <f>SUM(O92:O95)</f>
        <v>250000</v>
      </c>
      <c r="P96" s="863">
        <f>SUM(P92:P95)</f>
        <v>270000</v>
      </c>
    </row>
    <row r="97" spans="1:16" hidden="1">
      <c r="A97" s="773">
        <v>3421</v>
      </c>
      <c r="B97" s="772">
        <v>5139</v>
      </c>
      <c r="C97" s="785" t="s">
        <v>643</v>
      </c>
      <c r="D97" s="784"/>
      <c r="E97" s="784"/>
      <c r="F97" s="784">
        <v>890</v>
      </c>
      <c r="G97" s="784">
        <v>0</v>
      </c>
      <c r="H97" s="784">
        <f t="shared" si="12"/>
        <v>890</v>
      </c>
      <c r="I97" s="802">
        <f t="shared" si="14"/>
        <v>890</v>
      </c>
      <c r="J97" s="810"/>
      <c r="K97" s="802"/>
      <c r="L97" s="802"/>
      <c r="M97" s="825">
        <v>5000</v>
      </c>
      <c r="N97" s="825">
        <v>5000</v>
      </c>
      <c r="O97" s="825"/>
      <c r="P97" s="863"/>
    </row>
    <row r="98" spans="1:16" hidden="1">
      <c r="A98" s="773">
        <v>3421</v>
      </c>
      <c r="B98" s="772">
        <v>5169</v>
      </c>
      <c r="C98" s="785" t="s">
        <v>644</v>
      </c>
      <c r="D98" s="784">
        <v>5000</v>
      </c>
      <c r="E98" s="784">
        <v>265000</v>
      </c>
      <c r="F98" s="784"/>
      <c r="G98" s="784">
        <v>25000</v>
      </c>
      <c r="H98" s="784">
        <f t="shared" si="12"/>
        <v>25000</v>
      </c>
      <c r="I98" s="802">
        <f t="shared" si="14"/>
        <v>25000</v>
      </c>
      <c r="J98" s="810"/>
      <c r="K98" s="802"/>
      <c r="L98" s="802">
        <v>25000</v>
      </c>
      <c r="M98" s="825">
        <v>25000</v>
      </c>
      <c r="N98" s="825">
        <v>25000</v>
      </c>
      <c r="O98" s="825">
        <v>25000</v>
      </c>
      <c r="P98" s="863">
        <v>25000</v>
      </c>
    </row>
    <row r="99" spans="1:16" hidden="1">
      <c r="A99" s="836">
        <v>3421</v>
      </c>
      <c r="B99" s="837">
        <v>6121</v>
      </c>
      <c r="C99" s="838" t="s">
        <v>645</v>
      </c>
      <c r="D99" s="839"/>
      <c r="E99" s="839"/>
      <c r="F99" s="839"/>
      <c r="G99" s="839"/>
      <c r="H99" s="839"/>
      <c r="I99" s="840"/>
      <c r="J99" s="841"/>
      <c r="K99" s="840"/>
      <c r="L99" s="840">
        <v>3000000</v>
      </c>
      <c r="M99" s="842"/>
      <c r="N99" s="842"/>
      <c r="O99" s="842">
        <v>450000</v>
      </c>
      <c r="P99" s="901">
        <v>10000000</v>
      </c>
    </row>
    <row r="100" spans="1:16" hidden="1">
      <c r="A100" s="836">
        <v>3421</v>
      </c>
      <c r="B100" s="837">
        <v>6122</v>
      </c>
      <c r="C100" s="838" t="s">
        <v>647</v>
      </c>
      <c r="D100" s="839"/>
      <c r="E100" s="839"/>
      <c r="F100" s="839"/>
      <c r="G100" s="839" t="e">
        <f>#REF!</f>
        <v>#REF!</v>
      </c>
      <c r="H100" s="839" t="e">
        <f t="shared" si="12"/>
        <v>#REF!</v>
      </c>
      <c r="I100" s="840" t="e">
        <f>#REF!</f>
        <v>#REF!</v>
      </c>
      <c r="J100" s="841"/>
      <c r="K100" s="840"/>
      <c r="L100" s="840">
        <v>4000000</v>
      </c>
      <c r="M100" s="842">
        <v>430000</v>
      </c>
      <c r="N100" s="842">
        <v>650000</v>
      </c>
      <c r="O100" s="842">
        <v>500000</v>
      </c>
      <c r="P100" s="901">
        <v>1250000</v>
      </c>
    </row>
    <row r="101" spans="1:16" s="120" customFormat="1">
      <c r="A101" s="773" t="s">
        <v>1222</v>
      </c>
      <c r="B101" s="772" t="s">
        <v>1188</v>
      </c>
      <c r="C101" s="785" t="s">
        <v>1223</v>
      </c>
      <c r="D101" s="784"/>
      <c r="E101" s="784"/>
      <c r="F101" s="784"/>
      <c r="G101" s="784"/>
      <c r="H101" s="784"/>
      <c r="I101" s="802"/>
      <c r="J101" s="810"/>
      <c r="K101" s="802"/>
      <c r="L101" s="802"/>
      <c r="M101" s="825"/>
      <c r="N101" s="825">
        <f>SUM(N97:N100)</f>
        <v>680000</v>
      </c>
      <c r="O101" s="825">
        <f>SUM(O97:O100)</f>
        <v>975000</v>
      </c>
      <c r="P101" s="863">
        <f>SUM(P97:P100)</f>
        <v>11275000</v>
      </c>
    </row>
    <row r="102" spans="1:16" hidden="1">
      <c r="A102" s="773">
        <v>3613</v>
      </c>
      <c r="B102" s="772">
        <v>5171</v>
      </c>
      <c r="C102" s="785" t="s">
        <v>649</v>
      </c>
      <c r="D102" s="784">
        <v>10000</v>
      </c>
      <c r="E102" s="784">
        <v>400000</v>
      </c>
      <c r="F102" s="784">
        <v>229711</v>
      </c>
      <c r="G102" s="784">
        <f t="shared" si="11"/>
        <v>170289</v>
      </c>
      <c r="H102" s="784">
        <f t="shared" si="12"/>
        <v>400000</v>
      </c>
      <c r="I102" s="802">
        <f t="shared" si="14"/>
        <v>400000</v>
      </c>
      <c r="J102" s="810"/>
      <c r="K102" s="802">
        <v>236110</v>
      </c>
      <c r="L102" s="802">
        <v>200000</v>
      </c>
      <c r="M102" s="825"/>
      <c r="N102" s="825">
        <v>150000</v>
      </c>
      <c r="O102" s="825"/>
      <c r="P102" s="863"/>
    </row>
    <row r="103" spans="1:16" hidden="1">
      <c r="A103" s="836">
        <v>3613</v>
      </c>
      <c r="B103" s="837">
        <v>6121</v>
      </c>
      <c r="C103" s="838" t="s">
        <v>650</v>
      </c>
      <c r="D103" s="839"/>
      <c r="E103" s="839"/>
      <c r="F103" s="839"/>
      <c r="G103" s="839"/>
      <c r="H103" s="839"/>
      <c r="I103" s="840"/>
      <c r="J103" s="841"/>
      <c r="K103" s="840"/>
      <c r="L103" s="840"/>
      <c r="M103" s="842"/>
      <c r="N103" s="842"/>
      <c r="O103" s="842"/>
      <c r="P103" s="901">
        <v>4000000</v>
      </c>
    </row>
    <row r="104" spans="1:16" s="120" customFormat="1">
      <c r="A104" s="773">
        <v>3613</v>
      </c>
      <c r="B104" s="772" t="s">
        <v>1188</v>
      </c>
      <c r="C104" s="785" t="s">
        <v>1191</v>
      </c>
      <c r="D104" s="784"/>
      <c r="E104" s="784"/>
      <c r="F104" s="784"/>
      <c r="G104" s="784"/>
      <c r="H104" s="784"/>
      <c r="I104" s="802"/>
      <c r="J104" s="810"/>
      <c r="K104" s="802"/>
      <c r="L104" s="802"/>
      <c r="M104" s="825"/>
      <c r="N104" s="825">
        <f>SUM(N102:N103)</f>
        <v>150000</v>
      </c>
      <c r="O104" s="825"/>
      <c r="P104" s="863">
        <f>SUM(P102:P103)</f>
        <v>4000000</v>
      </c>
    </row>
    <row r="105" spans="1:16" hidden="1">
      <c r="A105" s="773">
        <v>3631</v>
      </c>
      <c r="B105" s="772">
        <v>5154</v>
      </c>
      <c r="C105" s="785" t="s">
        <v>651</v>
      </c>
      <c r="D105" s="784">
        <v>350000</v>
      </c>
      <c r="E105" s="784">
        <v>350000</v>
      </c>
      <c r="F105" s="784">
        <v>389002</v>
      </c>
      <c r="G105" s="784">
        <v>0</v>
      </c>
      <c r="H105" s="784">
        <f t="shared" si="12"/>
        <v>389002</v>
      </c>
      <c r="I105" s="802">
        <f t="shared" si="14"/>
        <v>389002</v>
      </c>
      <c r="J105" s="810"/>
      <c r="K105" s="802">
        <v>392293</v>
      </c>
      <c r="L105" s="802">
        <v>450000</v>
      </c>
      <c r="M105" s="825">
        <v>600000</v>
      </c>
      <c r="N105" s="825">
        <v>650000</v>
      </c>
      <c r="O105" s="825">
        <v>600000</v>
      </c>
      <c r="P105" s="863">
        <v>1000000</v>
      </c>
    </row>
    <row r="106" spans="1:16" hidden="1">
      <c r="A106" s="773">
        <v>3631</v>
      </c>
      <c r="B106" s="772">
        <v>5171</v>
      </c>
      <c r="C106" s="785" t="s">
        <v>652</v>
      </c>
      <c r="D106" s="784">
        <v>200000</v>
      </c>
      <c r="E106" s="784">
        <v>200000</v>
      </c>
      <c r="F106" s="784">
        <v>121840</v>
      </c>
      <c r="G106" s="784">
        <f t="shared" ref="G106:G143" si="15">E106-F106</f>
        <v>78160</v>
      </c>
      <c r="H106" s="784">
        <f t="shared" si="12"/>
        <v>200000</v>
      </c>
      <c r="I106" s="802">
        <f t="shared" si="14"/>
        <v>200000</v>
      </c>
      <c r="J106" s="810"/>
      <c r="K106" s="802">
        <v>200800</v>
      </c>
      <c r="L106" s="802">
        <v>230000</v>
      </c>
      <c r="M106" s="825">
        <v>200000</v>
      </c>
      <c r="N106" s="825">
        <v>200000</v>
      </c>
      <c r="O106" s="825">
        <v>250000</v>
      </c>
      <c r="P106" s="863">
        <v>2000000</v>
      </c>
    </row>
    <row r="107" spans="1:16" hidden="1">
      <c r="A107" s="836">
        <v>3631</v>
      </c>
      <c r="B107" s="837">
        <v>6121</v>
      </c>
      <c r="C107" s="838" t="s">
        <v>654</v>
      </c>
      <c r="D107" s="839">
        <v>300000</v>
      </c>
      <c r="E107" s="839">
        <v>300000</v>
      </c>
      <c r="F107" s="839"/>
      <c r="G107" s="839">
        <v>0</v>
      </c>
      <c r="H107" s="839">
        <f t="shared" si="12"/>
        <v>0</v>
      </c>
      <c r="I107" s="840" t="e">
        <f>#REF!</f>
        <v>#REF!</v>
      </c>
      <c r="J107" s="841"/>
      <c r="K107" s="840">
        <v>1236834</v>
      </c>
      <c r="L107" s="840">
        <v>0</v>
      </c>
      <c r="M107" s="845"/>
      <c r="N107" s="842">
        <v>5600000</v>
      </c>
      <c r="O107" s="845"/>
      <c r="P107" s="901">
        <v>5600000</v>
      </c>
    </row>
    <row r="108" spans="1:16" s="120" customFormat="1">
      <c r="A108" s="773">
        <v>3631</v>
      </c>
      <c r="B108" s="772" t="s">
        <v>1188</v>
      </c>
      <c r="C108" s="785" t="s">
        <v>1208</v>
      </c>
      <c r="D108" s="784"/>
      <c r="E108" s="784"/>
      <c r="F108" s="784"/>
      <c r="G108" s="784"/>
      <c r="H108" s="784"/>
      <c r="I108" s="802"/>
      <c r="J108" s="810"/>
      <c r="K108" s="802"/>
      <c r="L108" s="802"/>
      <c r="M108" s="825"/>
      <c r="N108" s="825">
        <f>SUM(N105:N107)</f>
        <v>6450000</v>
      </c>
      <c r="O108" s="825">
        <f>SUM(O105:O107)</f>
        <v>850000</v>
      </c>
      <c r="P108" s="863">
        <f>SUM(P105:P107)</f>
        <v>8600000</v>
      </c>
    </row>
    <row r="109" spans="1:16">
      <c r="A109" s="773">
        <v>3635</v>
      </c>
      <c r="B109" s="772" t="s">
        <v>1188</v>
      </c>
      <c r="C109" s="785" t="s">
        <v>1209</v>
      </c>
      <c r="D109" s="784"/>
      <c r="E109" s="784">
        <v>120000</v>
      </c>
      <c r="F109" s="784">
        <v>115705</v>
      </c>
      <c r="G109" s="784">
        <f t="shared" si="15"/>
        <v>4295</v>
      </c>
      <c r="H109" s="784">
        <f t="shared" si="12"/>
        <v>120000</v>
      </c>
      <c r="I109" s="802">
        <f>H109</f>
        <v>120000</v>
      </c>
      <c r="J109" s="810"/>
      <c r="K109" s="802">
        <v>148830</v>
      </c>
      <c r="L109" s="802">
        <v>120000</v>
      </c>
      <c r="M109" s="825">
        <v>50000</v>
      </c>
      <c r="N109" s="825">
        <v>50000</v>
      </c>
      <c r="O109" s="825"/>
      <c r="P109" s="863">
        <v>300000</v>
      </c>
    </row>
    <row r="110" spans="1:16" hidden="1">
      <c r="A110" s="773">
        <v>3639</v>
      </c>
      <c r="B110" s="772">
        <v>5169</v>
      </c>
      <c r="C110" s="785" t="s">
        <v>657</v>
      </c>
      <c r="D110" s="784">
        <v>50000</v>
      </c>
      <c r="E110" s="784">
        <v>1316000</v>
      </c>
      <c r="F110" s="784">
        <v>256950</v>
      </c>
      <c r="G110" s="784">
        <f t="shared" si="15"/>
        <v>1059050</v>
      </c>
      <c r="H110" s="784">
        <f t="shared" si="12"/>
        <v>1316000</v>
      </c>
      <c r="I110" s="802">
        <f>H110-700000</f>
        <v>616000</v>
      </c>
      <c r="J110" s="812"/>
      <c r="K110" s="802">
        <v>72480</v>
      </c>
      <c r="L110" s="802">
        <v>200000</v>
      </c>
      <c r="M110" s="825">
        <v>450000</v>
      </c>
      <c r="N110" s="825">
        <v>200000</v>
      </c>
      <c r="O110" s="825">
        <v>250000</v>
      </c>
      <c r="P110" s="863">
        <v>250000</v>
      </c>
    </row>
    <row r="111" spans="1:16" ht="14" hidden="1" thickBot="1">
      <c r="A111" s="836">
        <v>3639</v>
      </c>
      <c r="B111" s="837">
        <v>6122</v>
      </c>
      <c r="C111" s="838" t="s">
        <v>658</v>
      </c>
      <c r="D111" s="839"/>
      <c r="E111" s="839"/>
      <c r="F111" s="839"/>
      <c r="G111" s="839"/>
      <c r="H111" s="839"/>
      <c r="I111" s="840"/>
      <c r="J111" s="841"/>
      <c r="K111" s="840"/>
      <c r="L111" s="848"/>
      <c r="M111" s="842"/>
      <c r="N111" s="842"/>
      <c r="O111" s="842"/>
      <c r="P111" s="901">
        <v>200000</v>
      </c>
    </row>
    <row r="112" spans="1:16" ht="14" hidden="1" thickBot="1">
      <c r="A112" s="836">
        <v>3639</v>
      </c>
      <c r="B112" s="837">
        <v>6121</v>
      </c>
      <c r="C112" s="838" t="s">
        <v>660</v>
      </c>
      <c r="D112" s="839"/>
      <c r="E112" s="839"/>
      <c r="F112" s="839"/>
      <c r="G112" s="839" t="e">
        <f>#REF!</f>
        <v>#REF!</v>
      </c>
      <c r="H112" s="839" t="e">
        <f t="shared" si="12"/>
        <v>#REF!</v>
      </c>
      <c r="I112" s="840"/>
      <c r="J112" s="846"/>
      <c r="K112" s="840"/>
      <c r="L112" s="824" t="e">
        <f>#REF!</f>
        <v>#REF!</v>
      </c>
      <c r="M112" s="845"/>
      <c r="N112" s="845"/>
      <c r="O112" s="842">
        <v>105000</v>
      </c>
      <c r="P112" s="901">
        <v>6000000</v>
      </c>
    </row>
    <row r="113" spans="1:16" hidden="1">
      <c r="A113" s="836">
        <v>3639</v>
      </c>
      <c r="B113" s="837">
        <v>6130</v>
      </c>
      <c r="C113" s="838" t="s">
        <v>661</v>
      </c>
      <c r="D113" s="839"/>
      <c r="E113" s="839"/>
      <c r="F113" s="839"/>
      <c r="G113" s="839"/>
      <c r="H113" s="839"/>
      <c r="I113" s="840"/>
      <c r="J113" s="846"/>
      <c r="K113" s="840">
        <v>1010000</v>
      </c>
      <c r="L113" s="840"/>
      <c r="M113" s="845"/>
      <c r="N113" s="842">
        <v>2000000</v>
      </c>
      <c r="O113" s="842">
        <v>2510000</v>
      </c>
      <c r="P113" s="901">
        <v>10000000</v>
      </c>
    </row>
    <row r="114" spans="1:16" s="120" customFormat="1">
      <c r="A114" s="773">
        <v>3639</v>
      </c>
      <c r="B114" s="772" t="s">
        <v>1188</v>
      </c>
      <c r="C114" s="785" t="s">
        <v>1193</v>
      </c>
      <c r="D114" s="784"/>
      <c r="E114" s="784"/>
      <c r="F114" s="784"/>
      <c r="G114" s="784"/>
      <c r="H114" s="784"/>
      <c r="I114" s="802"/>
      <c r="J114" s="810"/>
      <c r="K114" s="802"/>
      <c r="L114" s="802"/>
      <c r="M114" s="825"/>
      <c r="N114" s="825">
        <f>SUM(N110:N113)</f>
        <v>2200000</v>
      </c>
      <c r="O114" s="825">
        <f>SUM(O110:O113)</f>
        <v>2865000</v>
      </c>
      <c r="P114" s="863">
        <f>SUM(P110:P113)</f>
        <v>16450000</v>
      </c>
    </row>
    <row r="115" spans="1:16" hidden="1">
      <c r="A115" s="773">
        <v>3721</v>
      </c>
      <c r="B115" s="772">
        <v>5169</v>
      </c>
      <c r="C115" s="785" t="s">
        <v>663</v>
      </c>
      <c r="D115" s="784"/>
      <c r="E115" s="784"/>
      <c r="F115" s="784"/>
      <c r="G115" s="784"/>
      <c r="H115" s="784"/>
      <c r="I115" s="802"/>
      <c r="J115" s="810"/>
      <c r="K115" s="802"/>
      <c r="L115" s="802"/>
      <c r="M115" s="825">
        <v>20000</v>
      </c>
      <c r="N115" s="825">
        <v>20000</v>
      </c>
      <c r="O115" s="825">
        <v>40000</v>
      </c>
      <c r="P115" s="863">
        <v>50000</v>
      </c>
    </row>
    <row r="116" spans="1:16" hidden="1">
      <c r="A116" s="773">
        <v>3722</v>
      </c>
      <c r="B116" s="772">
        <v>5169</v>
      </c>
      <c r="C116" s="785" t="s">
        <v>664</v>
      </c>
      <c r="D116" s="784">
        <v>1000000</v>
      </c>
      <c r="E116" s="784">
        <v>1000000</v>
      </c>
      <c r="F116" s="784">
        <v>841076.69</v>
      </c>
      <c r="G116" s="784">
        <f t="shared" si="15"/>
        <v>158923.31000000006</v>
      </c>
      <c r="H116" s="784">
        <f t="shared" si="12"/>
        <v>1000000</v>
      </c>
      <c r="I116" s="802">
        <f>H116+200000</f>
        <v>1200000</v>
      </c>
      <c r="J116" s="810"/>
      <c r="K116" s="802">
        <v>869397</v>
      </c>
      <c r="L116" s="802">
        <v>1320000</v>
      </c>
      <c r="M116" s="825">
        <v>1300000</v>
      </c>
      <c r="N116" s="825">
        <v>1400000</v>
      </c>
      <c r="O116" s="825">
        <v>1700000</v>
      </c>
      <c r="P116" s="863">
        <v>2300000</v>
      </c>
    </row>
    <row r="117" spans="1:16" hidden="1">
      <c r="A117" s="773">
        <v>3725</v>
      </c>
      <c r="B117" s="772">
        <v>5169</v>
      </c>
      <c r="C117" s="785" t="s">
        <v>665</v>
      </c>
      <c r="D117" s="784">
        <v>750000</v>
      </c>
      <c r="E117" s="784">
        <v>750000</v>
      </c>
      <c r="F117" s="784">
        <v>480203.2</v>
      </c>
      <c r="G117" s="784">
        <f t="shared" si="15"/>
        <v>269796.8</v>
      </c>
      <c r="H117" s="784">
        <f t="shared" si="12"/>
        <v>750000</v>
      </c>
      <c r="I117" s="802">
        <f>H117+100000</f>
        <v>850000</v>
      </c>
      <c r="J117" s="810"/>
      <c r="K117" s="802">
        <v>625633</v>
      </c>
      <c r="L117" s="802">
        <v>935000</v>
      </c>
      <c r="M117" s="825">
        <v>900000</v>
      </c>
      <c r="N117" s="825">
        <v>1100000</v>
      </c>
      <c r="O117" s="825">
        <v>1100000</v>
      </c>
      <c r="P117" s="863">
        <v>1500000</v>
      </c>
    </row>
    <row r="118" spans="1:16" hidden="1">
      <c r="A118" s="773">
        <v>3726</v>
      </c>
      <c r="B118" s="772">
        <v>5169</v>
      </c>
      <c r="C118" s="785" t="s">
        <v>666</v>
      </c>
      <c r="D118" s="784">
        <v>260000</v>
      </c>
      <c r="E118" s="784">
        <v>260000</v>
      </c>
      <c r="F118" s="784">
        <v>88985.3</v>
      </c>
      <c r="G118" s="784">
        <f t="shared" si="15"/>
        <v>171014.7</v>
      </c>
      <c r="H118" s="784">
        <f t="shared" si="12"/>
        <v>260000</v>
      </c>
      <c r="I118" s="802">
        <f t="shared" ref="I118:I124" si="16">H118</f>
        <v>260000</v>
      </c>
      <c r="J118" s="810"/>
      <c r="K118" s="802">
        <v>169942</v>
      </c>
      <c r="L118" s="802">
        <v>260000</v>
      </c>
      <c r="M118" s="825">
        <v>260000</v>
      </c>
      <c r="N118" s="825">
        <v>330000</v>
      </c>
      <c r="O118" s="825">
        <v>400000</v>
      </c>
      <c r="P118" s="863">
        <v>500000</v>
      </c>
    </row>
    <row r="119" spans="1:16" hidden="1">
      <c r="A119" s="773">
        <v>3729</v>
      </c>
      <c r="B119" s="772">
        <v>5169</v>
      </c>
      <c r="C119" s="785" t="s">
        <v>667</v>
      </c>
      <c r="D119" s="784">
        <v>90000</v>
      </c>
      <c r="E119" s="784">
        <v>90000</v>
      </c>
      <c r="F119" s="784">
        <v>64725.53</v>
      </c>
      <c r="G119" s="784">
        <f t="shared" si="15"/>
        <v>25274.47</v>
      </c>
      <c r="H119" s="784">
        <f t="shared" si="12"/>
        <v>90000</v>
      </c>
      <c r="I119" s="802">
        <f t="shared" si="16"/>
        <v>90000</v>
      </c>
      <c r="J119" s="810"/>
      <c r="K119" s="802">
        <v>79582</v>
      </c>
      <c r="L119" s="802">
        <v>120000</v>
      </c>
      <c r="M119" s="825">
        <v>80000</v>
      </c>
      <c r="N119" s="825">
        <v>130000</v>
      </c>
      <c r="O119" s="825">
        <v>130000</v>
      </c>
      <c r="P119" s="863">
        <v>150000</v>
      </c>
    </row>
    <row r="120" spans="1:16">
      <c r="A120" s="773" t="s">
        <v>1210</v>
      </c>
      <c r="B120" s="772" t="s">
        <v>1188</v>
      </c>
      <c r="C120" s="785" t="s">
        <v>1211</v>
      </c>
      <c r="D120" s="784"/>
      <c r="E120" s="784"/>
      <c r="F120" s="784"/>
      <c r="G120" s="784"/>
      <c r="H120" s="784"/>
      <c r="I120" s="802"/>
      <c r="J120" s="810"/>
      <c r="K120" s="802"/>
      <c r="L120" s="802"/>
      <c r="M120" s="825"/>
      <c r="N120" s="825">
        <f>SUM(N115:N119)</f>
        <v>2980000</v>
      </c>
      <c r="O120" s="825">
        <f>SUM(O115:O119)</f>
        <v>3370000</v>
      </c>
      <c r="P120" s="863">
        <f>SUM(P115:P119)</f>
        <v>4500000</v>
      </c>
    </row>
    <row r="121" spans="1:16" hidden="1">
      <c r="A121" s="773">
        <v>3745</v>
      </c>
      <c r="B121" s="772">
        <v>5137</v>
      </c>
      <c r="C121" s="785" t="s">
        <v>668</v>
      </c>
      <c r="D121" s="784"/>
      <c r="E121" s="784"/>
      <c r="F121" s="784">
        <v>35398</v>
      </c>
      <c r="G121" s="784">
        <v>0</v>
      </c>
      <c r="H121" s="784">
        <f t="shared" si="12"/>
        <v>35398</v>
      </c>
      <c r="I121" s="802">
        <f t="shared" si="16"/>
        <v>35398</v>
      </c>
      <c r="J121" s="810"/>
      <c r="K121" s="802">
        <v>39188</v>
      </c>
      <c r="L121" s="802"/>
      <c r="M121" s="825"/>
      <c r="N121" s="825"/>
      <c r="O121" s="825">
        <v>101000</v>
      </c>
      <c r="P121" s="863">
        <v>150000</v>
      </c>
    </row>
    <row r="122" spans="1:16" hidden="1">
      <c r="A122" s="773">
        <v>3745</v>
      </c>
      <c r="B122" s="772">
        <v>5139</v>
      </c>
      <c r="C122" s="785" t="s">
        <v>669</v>
      </c>
      <c r="D122" s="784">
        <v>50000</v>
      </c>
      <c r="E122" s="784">
        <v>50000</v>
      </c>
      <c r="F122" s="784">
        <v>82029.990000000005</v>
      </c>
      <c r="G122" s="784">
        <v>0</v>
      </c>
      <c r="H122" s="784">
        <f t="shared" si="12"/>
        <v>82029.990000000005</v>
      </c>
      <c r="I122" s="802">
        <f t="shared" si="16"/>
        <v>82029.990000000005</v>
      </c>
      <c r="J122" s="810"/>
      <c r="K122" s="802">
        <v>48372</v>
      </c>
      <c r="L122" s="802">
        <v>80000</v>
      </c>
      <c r="M122" s="825">
        <v>30000</v>
      </c>
      <c r="N122" s="825">
        <v>50000</v>
      </c>
      <c r="O122" s="825">
        <v>70000</v>
      </c>
      <c r="P122" s="863">
        <v>80000</v>
      </c>
    </row>
    <row r="123" spans="1:16" hidden="1">
      <c r="A123" s="773">
        <v>3745</v>
      </c>
      <c r="B123" s="772">
        <v>5156</v>
      </c>
      <c r="C123" s="785" t="s">
        <v>670</v>
      </c>
      <c r="D123" s="784">
        <v>50000</v>
      </c>
      <c r="E123" s="784">
        <v>50000</v>
      </c>
      <c r="F123" s="784">
        <v>36848</v>
      </c>
      <c r="G123" s="784">
        <f t="shared" si="15"/>
        <v>13152</v>
      </c>
      <c r="H123" s="784">
        <f t="shared" si="12"/>
        <v>50000</v>
      </c>
      <c r="I123" s="802">
        <f t="shared" si="16"/>
        <v>50000</v>
      </c>
      <c r="J123" s="810"/>
      <c r="K123" s="802">
        <v>45873</v>
      </c>
      <c r="L123" s="802">
        <v>50000</v>
      </c>
      <c r="M123" s="825">
        <v>90000</v>
      </c>
      <c r="N123" s="825">
        <v>90000</v>
      </c>
      <c r="O123" s="825">
        <v>90000</v>
      </c>
      <c r="P123" s="863">
        <v>90000</v>
      </c>
    </row>
    <row r="124" spans="1:16" hidden="1">
      <c r="A124" s="773">
        <v>3745</v>
      </c>
      <c r="B124" s="772">
        <v>5169</v>
      </c>
      <c r="C124" s="785" t="s">
        <v>648</v>
      </c>
      <c r="D124" s="784"/>
      <c r="E124" s="784">
        <v>130000</v>
      </c>
      <c r="F124" s="784">
        <v>900</v>
      </c>
      <c r="G124" s="784">
        <f t="shared" si="15"/>
        <v>129100</v>
      </c>
      <c r="H124" s="784">
        <f t="shared" si="12"/>
        <v>130000</v>
      </c>
      <c r="I124" s="802">
        <f t="shared" si="16"/>
        <v>130000</v>
      </c>
      <c r="J124" s="810"/>
      <c r="K124" s="802">
        <v>189196</v>
      </c>
      <c r="L124" s="802"/>
      <c r="M124" s="825"/>
      <c r="N124" s="825">
        <v>900000</v>
      </c>
      <c r="O124" s="825">
        <v>400000</v>
      </c>
      <c r="P124" s="863">
        <v>500000</v>
      </c>
    </row>
    <row r="125" spans="1:16" hidden="1">
      <c r="A125" s="773">
        <v>3745</v>
      </c>
      <c r="B125" s="799">
        <v>5171</v>
      </c>
      <c r="C125" s="785" t="s">
        <v>671</v>
      </c>
      <c r="D125" s="784"/>
      <c r="E125" s="784"/>
      <c r="F125" s="784"/>
      <c r="G125" s="784" t="e">
        <f>#REF!</f>
        <v>#REF!</v>
      </c>
      <c r="H125" s="784" t="e">
        <f>G125+F125</f>
        <v>#REF!</v>
      </c>
      <c r="I125" s="802" t="e">
        <f>#REF!</f>
        <v>#REF!</v>
      </c>
      <c r="J125" s="810"/>
      <c r="K125" s="802"/>
      <c r="L125" s="802" t="e">
        <f>#REF!</f>
        <v>#REF!</v>
      </c>
      <c r="M125" s="825"/>
      <c r="N125" s="825">
        <v>765000</v>
      </c>
      <c r="O125" s="825">
        <v>500000</v>
      </c>
      <c r="P125" s="863">
        <v>700000</v>
      </c>
    </row>
    <row r="126" spans="1:16" hidden="1">
      <c r="A126" s="836">
        <v>3745</v>
      </c>
      <c r="B126" s="837">
        <v>6121</v>
      </c>
      <c r="C126" s="838" t="s">
        <v>672</v>
      </c>
      <c r="D126" s="839">
        <v>50000</v>
      </c>
      <c r="E126" s="839">
        <v>50000</v>
      </c>
      <c r="F126" s="839"/>
      <c r="G126" s="839" t="e">
        <f>#REF!</f>
        <v>#REF!</v>
      </c>
      <c r="H126" s="839" t="e">
        <f t="shared" ref="H126:H180" si="17">G126+F126</f>
        <v>#REF!</v>
      </c>
      <c r="I126" s="840" t="e">
        <f>#REF!</f>
        <v>#REF!</v>
      </c>
      <c r="J126" s="847">
        <v>-2000000</v>
      </c>
      <c r="K126" s="840"/>
      <c r="L126" s="840">
        <v>1111000</v>
      </c>
      <c r="M126" s="845"/>
      <c r="N126" s="845"/>
      <c r="O126" s="845"/>
      <c r="P126" s="901">
        <v>1080000</v>
      </c>
    </row>
    <row r="127" spans="1:16" hidden="1">
      <c r="A127" s="836">
        <v>3745</v>
      </c>
      <c r="B127" s="837">
        <v>6122</v>
      </c>
      <c r="C127" s="838" t="s">
        <v>674</v>
      </c>
      <c r="D127" s="839">
        <v>600000</v>
      </c>
      <c r="E127" s="839">
        <v>300000</v>
      </c>
      <c r="F127" s="839"/>
      <c r="G127" s="839" t="e">
        <f>#REF!</f>
        <v>#REF!</v>
      </c>
      <c r="H127" s="839" t="e">
        <f t="shared" si="17"/>
        <v>#REF!</v>
      </c>
      <c r="I127" s="840" t="e">
        <f>#REF!</f>
        <v>#REF!</v>
      </c>
      <c r="J127" s="841"/>
      <c r="K127" s="840"/>
      <c r="L127" s="840"/>
      <c r="M127" s="845"/>
      <c r="N127" s="845"/>
      <c r="O127" s="845"/>
      <c r="P127" s="983">
        <v>250000</v>
      </c>
    </row>
    <row r="128" spans="1:16" s="120" customFormat="1">
      <c r="A128" s="773">
        <v>3745</v>
      </c>
      <c r="B128" s="772" t="s">
        <v>1188</v>
      </c>
      <c r="C128" s="785" t="s">
        <v>1212</v>
      </c>
      <c r="D128" s="784"/>
      <c r="E128" s="784"/>
      <c r="F128" s="784"/>
      <c r="G128" s="784"/>
      <c r="H128" s="784"/>
      <c r="I128" s="802"/>
      <c r="J128" s="810"/>
      <c r="K128" s="802"/>
      <c r="L128" s="802"/>
      <c r="M128" s="825"/>
      <c r="N128" s="825">
        <f>SUM(N121:N127)</f>
        <v>1805000</v>
      </c>
      <c r="O128" s="825">
        <f>SUM(O121:O127)</f>
        <v>1161000</v>
      </c>
      <c r="P128" s="863">
        <f>SUM(P121:P127)</f>
        <v>2850000</v>
      </c>
    </row>
    <row r="129" spans="1:16" s="120" customFormat="1">
      <c r="A129" s="773">
        <v>4349</v>
      </c>
      <c r="B129" s="772" t="s">
        <v>1188</v>
      </c>
      <c r="C129" s="785" t="s">
        <v>1214</v>
      </c>
      <c r="D129" s="784"/>
      <c r="E129" s="784"/>
      <c r="F129" s="784"/>
      <c r="G129" s="784"/>
      <c r="H129" s="784"/>
      <c r="I129" s="802"/>
      <c r="J129" s="810"/>
      <c r="K129" s="802"/>
      <c r="L129" s="802"/>
      <c r="M129" s="825"/>
      <c r="N129" s="825"/>
      <c r="O129" s="825">
        <v>100000</v>
      </c>
      <c r="P129" s="863">
        <v>100000</v>
      </c>
    </row>
    <row r="130" spans="1:16">
      <c r="A130" s="773">
        <v>5299</v>
      </c>
      <c r="B130" s="772" t="s">
        <v>1188</v>
      </c>
      <c r="C130" s="785" t="s">
        <v>1215</v>
      </c>
      <c r="D130" s="784"/>
      <c r="E130" s="784">
        <v>20000</v>
      </c>
      <c r="F130" s="784">
        <v>6670</v>
      </c>
      <c r="G130" s="784">
        <f t="shared" si="15"/>
        <v>13330</v>
      </c>
      <c r="H130" s="784">
        <f t="shared" si="17"/>
        <v>20000</v>
      </c>
      <c r="I130" s="802">
        <f t="shared" ref="I130:I136" si="18">H130</f>
        <v>20000</v>
      </c>
      <c r="J130" s="810"/>
      <c r="K130" s="802">
        <v>8409</v>
      </c>
      <c r="L130" s="802">
        <v>10000</v>
      </c>
      <c r="M130" s="825">
        <v>10000</v>
      </c>
      <c r="N130" s="825">
        <v>10000</v>
      </c>
      <c r="O130" s="825"/>
      <c r="P130" s="863">
        <v>10000</v>
      </c>
    </row>
    <row r="131" spans="1:16" hidden="1">
      <c r="A131" s="773">
        <v>5512</v>
      </c>
      <c r="B131" s="772">
        <v>5137</v>
      </c>
      <c r="C131" s="785" t="s">
        <v>676</v>
      </c>
      <c r="D131" s="784">
        <v>30000</v>
      </c>
      <c r="E131" s="784">
        <v>30000</v>
      </c>
      <c r="F131" s="784"/>
      <c r="G131" s="784">
        <f t="shared" si="15"/>
        <v>30000</v>
      </c>
      <c r="H131" s="784">
        <f t="shared" si="17"/>
        <v>30000</v>
      </c>
      <c r="I131" s="802">
        <f t="shared" si="18"/>
        <v>30000</v>
      </c>
      <c r="J131" s="810"/>
      <c r="K131" s="802"/>
      <c r="L131" s="802">
        <v>15000</v>
      </c>
      <c r="M131" s="825"/>
      <c r="N131" s="825">
        <v>20000</v>
      </c>
      <c r="O131" s="825">
        <v>652800</v>
      </c>
      <c r="P131" s="863">
        <v>300000</v>
      </c>
    </row>
    <row r="132" spans="1:16" hidden="1">
      <c r="A132" s="773">
        <v>5512</v>
      </c>
      <c r="B132" s="772">
        <v>5139</v>
      </c>
      <c r="C132" s="785" t="s">
        <v>677</v>
      </c>
      <c r="D132" s="784">
        <v>5000</v>
      </c>
      <c r="E132" s="784">
        <v>5000</v>
      </c>
      <c r="F132" s="784">
        <v>3948</v>
      </c>
      <c r="G132" s="784">
        <f t="shared" si="15"/>
        <v>1052</v>
      </c>
      <c r="H132" s="784">
        <f t="shared" si="17"/>
        <v>5000</v>
      </c>
      <c r="I132" s="802">
        <f t="shared" si="18"/>
        <v>5000</v>
      </c>
      <c r="J132" s="810"/>
      <c r="K132" s="802"/>
      <c r="L132" s="802">
        <v>5000</v>
      </c>
      <c r="M132" s="825">
        <v>20000</v>
      </c>
      <c r="N132" s="825">
        <v>20000</v>
      </c>
      <c r="O132" s="825">
        <v>5000</v>
      </c>
      <c r="P132" s="863">
        <v>20000</v>
      </c>
    </row>
    <row r="133" spans="1:16" hidden="1">
      <c r="A133" s="773">
        <v>5512</v>
      </c>
      <c r="B133" s="772">
        <v>5156</v>
      </c>
      <c r="C133" s="785" t="s">
        <v>678</v>
      </c>
      <c r="D133" s="784">
        <v>2000</v>
      </c>
      <c r="E133" s="784">
        <v>2000</v>
      </c>
      <c r="F133" s="784">
        <v>1150</v>
      </c>
      <c r="G133" s="784">
        <f t="shared" si="15"/>
        <v>850</v>
      </c>
      <c r="H133" s="784">
        <f t="shared" si="17"/>
        <v>2000</v>
      </c>
      <c r="I133" s="802">
        <f t="shared" si="18"/>
        <v>2000</v>
      </c>
      <c r="J133" s="810"/>
      <c r="K133" s="802">
        <v>2062</v>
      </c>
      <c r="L133" s="802">
        <v>2000</v>
      </c>
      <c r="M133" s="825">
        <v>6000</v>
      </c>
      <c r="N133" s="825">
        <v>5000</v>
      </c>
      <c r="O133" s="825">
        <v>5000</v>
      </c>
      <c r="P133" s="863">
        <v>6000</v>
      </c>
    </row>
    <row r="134" spans="1:16" hidden="1">
      <c r="A134" s="773">
        <v>5512</v>
      </c>
      <c r="B134" s="772">
        <v>5163</v>
      </c>
      <c r="C134" s="785" t="s">
        <v>679</v>
      </c>
      <c r="D134" s="784">
        <v>2400</v>
      </c>
      <c r="E134" s="784">
        <v>2400</v>
      </c>
      <c r="F134" s="784">
        <v>2329</v>
      </c>
      <c r="G134" s="784">
        <f t="shared" si="15"/>
        <v>71</v>
      </c>
      <c r="H134" s="784">
        <f t="shared" si="17"/>
        <v>2400</v>
      </c>
      <c r="I134" s="802">
        <f t="shared" si="18"/>
        <v>2400</v>
      </c>
      <c r="J134" s="810"/>
      <c r="K134" s="802">
        <v>2329</v>
      </c>
      <c r="L134" s="802">
        <v>2400</v>
      </c>
      <c r="M134" s="825">
        <v>2400</v>
      </c>
      <c r="N134" s="825">
        <v>2400</v>
      </c>
      <c r="O134" s="825">
        <v>2400</v>
      </c>
      <c r="P134" s="863">
        <v>3000</v>
      </c>
    </row>
    <row r="135" spans="1:16" hidden="1">
      <c r="A135" s="773">
        <v>5512</v>
      </c>
      <c r="B135" s="772">
        <v>5167</v>
      </c>
      <c r="C135" s="785" t="s">
        <v>680</v>
      </c>
      <c r="D135" s="784">
        <v>5000</v>
      </c>
      <c r="E135" s="784">
        <v>5000</v>
      </c>
      <c r="F135" s="784"/>
      <c r="G135" s="784">
        <f t="shared" si="15"/>
        <v>5000</v>
      </c>
      <c r="H135" s="784">
        <f t="shared" si="17"/>
        <v>5000</v>
      </c>
      <c r="I135" s="802">
        <f t="shared" si="18"/>
        <v>5000</v>
      </c>
      <c r="J135" s="810"/>
      <c r="K135" s="802"/>
      <c r="L135" s="802">
        <v>5000</v>
      </c>
      <c r="M135" s="825"/>
      <c r="N135" s="825">
        <v>5000</v>
      </c>
      <c r="O135" s="825"/>
      <c r="P135" s="863">
        <v>30000</v>
      </c>
    </row>
    <row r="136" spans="1:16" hidden="1">
      <c r="A136" s="773">
        <v>5512</v>
      </c>
      <c r="B136" s="772">
        <v>5171</v>
      </c>
      <c r="C136" s="785" t="s">
        <v>681</v>
      </c>
      <c r="D136" s="784">
        <v>5000</v>
      </c>
      <c r="E136" s="784">
        <v>5000</v>
      </c>
      <c r="F136" s="784"/>
      <c r="G136" s="784">
        <f t="shared" si="15"/>
        <v>5000</v>
      </c>
      <c r="H136" s="784">
        <f t="shared" si="17"/>
        <v>5000</v>
      </c>
      <c r="I136" s="802">
        <f t="shared" si="18"/>
        <v>5000</v>
      </c>
      <c r="J136" s="810"/>
      <c r="K136" s="802">
        <v>3422</v>
      </c>
      <c r="L136" s="802">
        <v>5000</v>
      </c>
      <c r="M136" s="825">
        <v>25000</v>
      </c>
      <c r="N136" s="825">
        <v>20000</v>
      </c>
      <c r="O136" s="825"/>
      <c r="P136" s="863">
        <v>50000</v>
      </c>
    </row>
    <row r="137" spans="1:16" hidden="1">
      <c r="A137" s="773">
        <v>5512</v>
      </c>
      <c r="B137" s="772">
        <v>5222</v>
      </c>
      <c r="C137" s="785" t="s">
        <v>682</v>
      </c>
      <c r="D137" s="784"/>
      <c r="E137" s="784"/>
      <c r="F137" s="784"/>
      <c r="G137" s="784"/>
      <c r="H137" s="784"/>
      <c r="I137" s="802"/>
      <c r="J137" s="810"/>
      <c r="K137" s="802"/>
      <c r="L137" s="802"/>
      <c r="M137" s="825"/>
      <c r="N137" s="825"/>
      <c r="O137" s="825">
        <v>20000</v>
      </c>
      <c r="P137" s="863">
        <v>40000</v>
      </c>
    </row>
    <row r="138" spans="1:16" hidden="1">
      <c r="A138" s="836">
        <v>5512</v>
      </c>
      <c r="B138" s="837">
        <v>6121</v>
      </c>
      <c r="C138" s="838" t="s">
        <v>683</v>
      </c>
      <c r="D138" s="839"/>
      <c r="E138" s="839"/>
      <c r="F138" s="839"/>
      <c r="G138" s="839" t="e">
        <f>#REF!</f>
        <v>#REF!</v>
      </c>
      <c r="H138" s="839" t="e">
        <f t="shared" si="17"/>
        <v>#REF!</v>
      </c>
      <c r="I138" s="840" t="e">
        <f>#REF!</f>
        <v>#REF!</v>
      </c>
      <c r="J138" s="841"/>
      <c r="K138" s="840"/>
      <c r="L138" s="840"/>
      <c r="M138" s="842"/>
      <c r="N138" s="842"/>
      <c r="O138" s="842"/>
      <c r="P138" s="901">
        <v>500000</v>
      </c>
    </row>
    <row r="139" spans="1:16" s="120" customFormat="1">
      <c r="A139" s="773">
        <v>5512</v>
      </c>
      <c r="B139" s="772" t="s">
        <v>1188</v>
      </c>
      <c r="C139" s="785" t="s">
        <v>1216</v>
      </c>
      <c r="D139" s="784"/>
      <c r="E139" s="784"/>
      <c r="F139" s="784"/>
      <c r="G139" s="784"/>
      <c r="H139" s="784"/>
      <c r="I139" s="802"/>
      <c r="J139" s="810"/>
      <c r="K139" s="802"/>
      <c r="L139" s="802"/>
      <c r="M139" s="825"/>
      <c r="N139" s="825">
        <f>SUM(N131:N138)</f>
        <v>72400</v>
      </c>
      <c r="O139" s="825">
        <f>SUM(O131:O138)</f>
        <v>685200</v>
      </c>
      <c r="P139" s="863">
        <f>SUM(P131:P138)</f>
        <v>949000</v>
      </c>
    </row>
    <row r="140" spans="1:16" hidden="1">
      <c r="A140" s="773">
        <v>6112</v>
      </c>
      <c r="B140" s="772">
        <v>5023</v>
      </c>
      <c r="C140" s="785" t="s">
        <v>685</v>
      </c>
      <c r="D140" s="784">
        <f>1400000+150000</f>
        <v>1550000</v>
      </c>
      <c r="E140" s="784">
        <v>1550000</v>
      </c>
      <c r="F140" s="784">
        <v>1149263</v>
      </c>
      <c r="G140" s="784">
        <f t="shared" si="15"/>
        <v>400737</v>
      </c>
      <c r="H140" s="784">
        <f t="shared" si="17"/>
        <v>1550000</v>
      </c>
      <c r="I140" s="802">
        <f t="shared" ref="I140:I168" si="19">H140</f>
        <v>1550000</v>
      </c>
      <c r="J140" s="810"/>
      <c r="K140" s="802">
        <v>1267163</v>
      </c>
      <c r="L140" s="802">
        <v>1550000</v>
      </c>
      <c r="M140" s="825">
        <v>1800000</v>
      </c>
      <c r="N140" s="825">
        <v>1760000</v>
      </c>
      <c r="O140" s="825">
        <v>1760000</v>
      </c>
      <c r="P140" s="863">
        <v>2100000</v>
      </c>
    </row>
    <row r="141" spans="1:16" hidden="1">
      <c r="A141" s="773">
        <v>6112</v>
      </c>
      <c r="B141" s="772">
        <v>5026</v>
      </c>
      <c r="C141" s="785" t="s">
        <v>687</v>
      </c>
      <c r="D141" s="784"/>
      <c r="E141" s="784"/>
      <c r="F141" s="784"/>
      <c r="G141" s="784"/>
      <c r="H141" s="784"/>
      <c r="I141" s="802"/>
      <c r="J141" s="810"/>
      <c r="K141" s="802"/>
      <c r="L141" s="802"/>
      <c r="M141" s="825"/>
      <c r="N141" s="825"/>
      <c r="O141" s="825">
        <v>340000</v>
      </c>
      <c r="P141" s="863"/>
    </row>
    <row r="142" spans="1:16" hidden="1">
      <c r="A142" s="773">
        <v>6112</v>
      </c>
      <c r="B142" s="772">
        <v>5031</v>
      </c>
      <c r="C142" s="785" t="s">
        <v>688</v>
      </c>
      <c r="D142" s="784">
        <v>270000</v>
      </c>
      <c r="E142" s="784">
        <v>270000</v>
      </c>
      <c r="F142" s="784">
        <v>222151</v>
      </c>
      <c r="G142" s="784">
        <f t="shared" si="15"/>
        <v>47849</v>
      </c>
      <c r="H142" s="784">
        <f t="shared" si="17"/>
        <v>270000</v>
      </c>
      <c r="I142" s="802">
        <f t="shared" si="19"/>
        <v>270000</v>
      </c>
      <c r="J142" s="810"/>
      <c r="K142" s="802">
        <v>252558</v>
      </c>
      <c r="L142" s="802">
        <v>270000</v>
      </c>
      <c r="M142" s="825">
        <v>300000</v>
      </c>
      <c r="N142" s="825">
        <v>330000</v>
      </c>
      <c r="O142" s="825">
        <v>250000</v>
      </c>
      <c r="P142" s="863"/>
    </row>
    <row r="143" spans="1:16" hidden="1">
      <c r="A143" s="773">
        <v>6112</v>
      </c>
      <c r="B143" s="772">
        <v>5032</v>
      </c>
      <c r="C143" s="785" t="s">
        <v>689</v>
      </c>
      <c r="D143" s="784">
        <v>125000</v>
      </c>
      <c r="E143" s="784">
        <v>125000</v>
      </c>
      <c r="F143" s="784">
        <v>100555</v>
      </c>
      <c r="G143" s="784">
        <f t="shared" si="15"/>
        <v>24445</v>
      </c>
      <c r="H143" s="784">
        <f t="shared" si="17"/>
        <v>125000</v>
      </c>
      <c r="I143" s="802">
        <f t="shared" si="19"/>
        <v>125000</v>
      </c>
      <c r="J143" s="810"/>
      <c r="K143" s="802">
        <v>115047</v>
      </c>
      <c r="L143" s="802">
        <v>125000</v>
      </c>
      <c r="M143" s="825">
        <v>150000</v>
      </c>
      <c r="N143" s="825">
        <v>165000</v>
      </c>
      <c r="O143" s="825">
        <v>165000</v>
      </c>
      <c r="P143" s="863">
        <v>190000</v>
      </c>
    </row>
    <row r="144" spans="1:16">
      <c r="A144" s="773">
        <v>6112</v>
      </c>
      <c r="B144" s="772" t="s">
        <v>1188</v>
      </c>
      <c r="C144" s="785" t="s">
        <v>1219</v>
      </c>
      <c r="D144" s="784"/>
      <c r="E144" s="784"/>
      <c r="F144" s="784"/>
      <c r="G144" s="784"/>
      <c r="H144" s="784"/>
      <c r="I144" s="802"/>
      <c r="J144" s="810"/>
      <c r="K144" s="802"/>
      <c r="L144" s="802"/>
      <c r="M144" s="825"/>
      <c r="N144" s="825">
        <f>SUM(N140:N143)</f>
        <v>2255000</v>
      </c>
      <c r="O144" s="825">
        <f>SUM(O140:O143)</f>
        <v>2515000</v>
      </c>
      <c r="P144" s="863">
        <f>SUM(P140:P143)</f>
        <v>2290000</v>
      </c>
    </row>
    <row r="145" spans="1:16" hidden="1">
      <c r="A145" s="773" t="s">
        <v>690</v>
      </c>
      <c r="B145" s="772">
        <v>5021</v>
      </c>
      <c r="C145" s="785" t="s">
        <v>691</v>
      </c>
      <c r="D145" s="784"/>
      <c r="E145" s="784"/>
      <c r="F145" s="784">
        <v>8851.15</v>
      </c>
      <c r="G145" s="784">
        <v>0</v>
      </c>
      <c r="H145" s="784">
        <f t="shared" si="17"/>
        <v>8851.15</v>
      </c>
      <c r="I145" s="802">
        <f t="shared" si="19"/>
        <v>8851.15</v>
      </c>
      <c r="J145" s="810">
        <v>-8851</v>
      </c>
      <c r="K145" s="802"/>
      <c r="L145" s="802"/>
      <c r="M145" s="825"/>
      <c r="N145" s="825"/>
      <c r="O145" s="825">
        <f>8929+35504</f>
        <v>44433</v>
      </c>
      <c r="P145" s="863"/>
    </row>
    <row r="146" spans="1:16" hidden="1">
      <c r="A146" s="773" t="s">
        <v>690</v>
      </c>
      <c r="B146" s="772">
        <v>5175</v>
      </c>
      <c r="C146" s="785" t="s">
        <v>692</v>
      </c>
      <c r="D146" s="784"/>
      <c r="E146" s="784"/>
      <c r="F146" s="784"/>
      <c r="G146" s="784"/>
      <c r="H146" s="784"/>
      <c r="I146" s="802"/>
      <c r="J146" s="810"/>
      <c r="K146" s="802"/>
      <c r="L146" s="802"/>
      <c r="M146" s="825"/>
      <c r="N146" s="825"/>
      <c r="O146" s="825">
        <f>1266+3096</f>
        <v>4362</v>
      </c>
      <c r="P146" s="863"/>
    </row>
    <row r="147" spans="1:16">
      <c r="A147" s="773" t="s">
        <v>690</v>
      </c>
      <c r="B147" s="772" t="s">
        <v>1217</v>
      </c>
      <c r="C147" s="785" t="s">
        <v>1218</v>
      </c>
      <c r="D147" s="784"/>
      <c r="E147" s="784"/>
      <c r="F147" s="784"/>
      <c r="G147" s="784"/>
      <c r="H147" s="784"/>
      <c r="I147" s="802"/>
      <c r="J147" s="810"/>
      <c r="K147" s="802"/>
      <c r="L147" s="802"/>
      <c r="M147" s="825"/>
      <c r="N147" s="825"/>
      <c r="O147" s="825">
        <f>SUM(O145:O146)</f>
        <v>48795</v>
      </c>
      <c r="P147" s="863"/>
    </row>
    <row r="148" spans="1:16" hidden="1">
      <c r="A148" s="773">
        <v>6171</v>
      </c>
      <c r="B148" s="772">
        <v>5011</v>
      </c>
      <c r="C148" s="785" t="s">
        <v>693</v>
      </c>
      <c r="D148" s="784">
        <v>400000</v>
      </c>
      <c r="E148" s="784">
        <v>700000</v>
      </c>
      <c r="F148" s="784">
        <v>582730</v>
      </c>
      <c r="G148" s="784">
        <f t="shared" ref="G148:G180" si="20">E148-F148</f>
        <v>117270</v>
      </c>
      <c r="H148" s="784">
        <f t="shared" si="17"/>
        <v>700000</v>
      </c>
      <c r="I148" s="802">
        <f t="shared" si="19"/>
        <v>700000</v>
      </c>
      <c r="J148" s="810"/>
      <c r="K148" s="802">
        <v>679093</v>
      </c>
      <c r="L148" s="802">
        <v>750000</v>
      </c>
      <c r="M148" s="825">
        <v>900000</v>
      </c>
      <c r="N148" s="825">
        <v>1000000</v>
      </c>
      <c r="O148" s="825">
        <v>1100000</v>
      </c>
      <c r="P148" s="863">
        <v>2500000</v>
      </c>
    </row>
    <row r="149" spans="1:16" hidden="1">
      <c r="A149" s="773">
        <v>6171</v>
      </c>
      <c r="B149" s="772">
        <v>5021</v>
      </c>
      <c r="C149" s="785" t="s">
        <v>694</v>
      </c>
      <c r="D149" s="784">
        <v>60000</v>
      </c>
      <c r="E149" s="784">
        <v>60000</v>
      </c>
      <c r="F149" s="784">
        <v>36445</v>
      </c>
      <c r="G149" s="784">
        <f t="shared" si="20"/>
        <v>23555</v>
      </c>
      <c r="H149" s="784">
        <f t="shared" si="17"/>
        <v>60000</v>
      </c>
      <c r="I149" s="802">
        <f t="shared" si="19"/>
        <v>60000</v>
      </c>
      <c r="J149" s="810"/>
      <c r="K149" s="802">
        <v>70573</v>
      </c>
      <c r="L149" s="802">
        <v>90000</v>
      </c>
      <c r="M149" s="825">
        <v>120000</v>
      </c>
      <c r="N149" s="825">
        <v>120000</v>
      </c>
      <c r="O149" s="825">
        <v>200000</v>
      </c>
      <c r="P149" s="863">
        <v>220000</v>
      </c>
    </row>
    <row r="150" spans="1:16" hidden="1">
      <c r="A150" s="773">
        <v>6171</v>
      </c>
      <c r="B150" s="772">
        <v>5031</v>
      </c>
      <c r="C150" s="785" t="s">
        <v>695</v>
      </c>
      <c r="D150" s="784">
        <v>120000</v>
      </c>
      <c r="E150" s="784">
        <v>120000</v>
      </c>
      <c r="F150" s="784">
        <v>144340</v>
      </c>
      <c r="G150" s="784">
        <f>0.25*G148</f>
        <v>29317.5</v>
      </c>
      <c r="H150" s="784">
        <f t="shared" si="17"/>
        <v>173657.5</v>
      </c>
      <c r="I150" s="802">
        <f t="shared" si="19"/>
        <v>173657.5</v>
      </c>
      <c r="J150" s="810"/>
      <c r="K150" s="802">
        <v>180934</v>
      </c>
      <c r="L150" s="802">
        <v>200000</v>
      </c>
      <c r="M150" s="825">
        <v>250000</v>
      </c>
      <c r="N150" s="825">
        <v>250000</v>
      </c>
      <c r="O150" s="825">
        <v>300000</v>
      </c>
      <c r="P150" s="863">
        <v>620000</v>
      </c>
    </row>
    <row r="151" spans="1:16" hidden="1">
      <c r="A151" s="773">
        <v>6171</v>
      </c>
      <c r="B151" s="772">
        <v>5032</v>
      </c>
      <c r="C151" s="785" t="s">
        <v>696</v>
      </c>
      <c r="D151" s="784">
        <v>40000</v>
      </c>
      <c r="E151" s="784">
        <v>40000</v>
      </c>
      <c r="F151" s="784">
        <v>52351</v>
      </c>
      <c r="G151" s="784">
        <f>0.1*G148</f>
        <v>11727</v>
      </c>
      <c r="H151" s="784">
        <f t="shared" si="17"/>
        <v>64078</v>
      </c>
      <c r="I151" s="802">
        <f t="shared" si="19"/>
        <v>64078</v>
      </c>
      <c r="J151" s="810"/>
      <c r="K151" s="802">
        <v>65662</v>
      </c>
      <c r="L151" s="802">
        <v>80000</v>
      </c>
      <c r="M151" s="825">
        <v>90000</v>
      </c>
      <c r="N151" s="825">
        <v>125000</v>
      </c>
      <c r="O151" s="825">
        <v>125000</v>
      </c>
      <c r="P151" s="863">
        <v>225000</v>
      </c>
    </row>
    <row r="152" spans="1:16" hidden="1">
      <c r="A152" s="773">
        <v>6171</v>
      </c>
      <c r="B152" s="772">
        <v>5038</v>
      </c>
      <c r="C152" s="785" t="s">
        <v>697</v>
      </c>
      <c r="D152" s="784">
        <v>1000</v>
      </c>
      <c r="E152" s="784">
        <v>1000</v>
      </c>
      <c r="F152" s="784">
        <v>279</v>
      </c>
      <c r="G152" s="784">
        <f t="shared" si="20"/>
        <v>721</v>
      </c>
      <c r="H152" s="784">
        <f t="shared" si="17"/>
        <v>1000</v>
      </c>
      <c r="I152" s="802">
        <f t="shared" si="19"/>
        <v>1000</v>
      </c>
      <c r="J152" s="810"/>
      <c r="K152" s="802">
        <v>473</v>
      </c>
      <c r="L152" s="802">
        <v>1000</v>
      </c>
      <c r="M152" s="825">
        <v>1000</v>
      </c>
      <c r="N152" s="825">
        <v>1000</v>
      </c>
      <c r="O152" s="825">
        <v>1000</v>
      </c>
      <c r="P152" s="863">
        <v>5000</v>
      </c>
    </row>
    <row r="153" spans="1:16" hidden="1">
      <c r="A153" s="773">
        <v>6171</v>
      </c>
      <c r="B153" s="772">
        <v>5137</v>
      </c>
      <c r="C153" s="785" t="s">
        <v>698</v>
      </c>
      <c r="D153" s="784">
        <v>20000</v>
      </c>
      <c r="E153" s="784">
        <v>45000</v>
      </c>
      <c r="F153" s="784">
        <v>41317.78</v>
      </c>
      <c r="G153" s="784">
        <f t="shared" si="20"/>
        <v>3682.2200000000012</v>
      </c>
      <c r="H153" s="784">
        <f t="shared" si="17"/>
        <v>45000</v>
      </c>
      <c r="I153" s="802">
        <f t="shared" si="19"/>
        <v>45000</v>
      </c>
      <c r="J153" s="810"/>
      <c r="K153" s="802"/>
      <c r="L153" s="802"/>
      <c r="M153" s="825"/>
      <c r="N153" s="825">
        <v>100000</v>
      </c>
      <c r="O153" s="825">
        <v>100000</v>
      </c>
      <c r="P153" s="863">
        <v>100000</v>
      </c>
    </row>
    <row r="154" spans="1:16" hidden="1">
      <c r="A154" s="773">
        <v>6171</v>
      </c>
      <c r="B154" s="772">
        <v>5139</v>
      </c>
      <c r="C154" s="785" t="s">
        <v>699</v>
      </c>
      <c r="D154" s="784">
        <v>45000</v>
      </c>
      <c r="E154" s="784">
        <v>85000</v>
      </c>
      <c r="F154" s="784">
        <v>98068.03</v>
      </c>
      <c r="G154" s="784">
        <f>100000-F154</f>
        <v>1931.9700000000012</v>
      </c>
      <c r="H154" s="784">
        <f t="shared" si="17"/>
        <v>100000</v>
      </c>
      <c r="I154" s="802">
        <f t="shared" si="19"/>
        <v>100000</v>
      </c>
      <c r="J154" s="810"/>
      <c r="K154" s="802">
        <v>101131</v>
      </c>
      <c r="L154" s="802">
        <v>110000</v>
      </c>
      <c r="M154" s="825">
        <v>50000</v>
      </c>
      <c r="N154" s="825">
        <v>100000</v>
      </c>
      <c r="O154" s="825">
        <v>130000</v>
      </c>
      <c r="P154" s="863">
        <v>150000</v>
      </c>
    </row>
    <row r="155" spans="1:16" hidden="1">
      <c r="A155" s="773">
        <v>6171</v>
      </c>
      <c r="B155" s="772">
        <v>5151</v>
      </c>
      <c r="C155" s="785" t="s">
        <v>700</v>
      </c>
      <c r="D155" s="784">
        <v>1000</v>
      </c>
      <c r="E155" s="784">
        <v>1600</v>
      </c>
      <c r="F155" s="784">
        <v>1327</v>
      </c>
      <c r="G155" s="784">
        <f t="shared" si="20"/>
        <v>273</v>
      </c>
      <c r="H155" s="784">
        <f t="shared" si="17"/>
        <v>1600</v>
      </c>
      <c r="I155" s="802">
        <f t="shared" si="19"/>
        <v>1600</v>
      </c>
      <c r="J155" s="810"/>
      <c r="K155" s="802"/>
      <c r="L155" s="802">
        <v>1600</v>
      </c>
      <c r="M155" s="825">
        <v>4000</v>
      </c>
      <c r="N155" s="825">
        <v>5000</v>
      </c>
      <c r="O155" s="825">
        <v>15000</v>
      </c>
      <c r="P155" s="863">
        <v>15000</v>
      </c>
    </row>
    <row r="156" spans="1:16" hidden="1">
      <c r="A156" s="773">
        <v>6171</v>
      </c>
      <c r="B156" s="772">
        <v>5153</v>
      </c>
      <c r="C156" s="785" t="s">
        <v>701</v>
      </c>
      <c r="D156" s="784">
        <v>40000</v>
      </c>
      <c r="E156" s="784">
        <v>40000</v>
      </c>
      <c r="F156" s="784">
        <v>31500</v>
      </c>
      <c r="G156" s="784">
        <f t="shared" si="20"/>
        <v>8500</v>
      </c>
      <c r="H156" s="784">
        <f t="shared" si="17"/>
        <v>40000</v>
      </c>
      <c r="I156" s="802">
        <f t="shared" si="19"/>
        <v>40000</v>
      </c>
      <c r="J156" s="810"/>
      <c r="K156" s="802">
        <v>30600</v>
      </c>
      <c r="L156" s="802">
        <v>40000</v>
      </c>
      <c r="M156" s="825">
        <v>40000</v>
      </c>
      <c r="N156" s="825">
        <v>40000</v>
      </c>
      <c r="O156" s="825">
        <v>50000</v>
      </c>
      <c r="P156" s="863">
        <v>50000</v>
      </c>
    </row>
    <row r="157" spans="1:16" hidden="1">
      <c r="A157" s="773">
        <v>6171</v>
      </c>
      <c r="B157" s="772">
        <v>5154</v>
      </c>
      <c r="C157" s="785" t="s">
        <v>702</v>
      </c>
      <c r="D157" s="784">
        <v>15000</v>
      </c>
      <c r="E157" s="784">
        <v>15000</v>
      </c>
      <c r="F157" s="784">
        <v>10640</v>
      </c>
      <c r="G157" s="784">
        <f t="shared" si="20"/>
        <v>4360</v>
      </c>
      <c r="H157" s="784">
        <f t="shared" si="17"/>
        <v>15000</v>
      </c>
      <c r="I157" s="802">
        <f t="shared" si="19"/>
        <v>15000</v>
      </c>
      <c r="J157" s="810"/>
      <c r="K157" s="802"/>
      <c r="L157" s="802">
        <v>15000</v>
      </c>
      <c r="M157" s="825">
        <v>60000</v>
      </c>
      <c r="N157" s="825">
        <v>80000</v>
      </c>
      <c r="O157" s="825">
        <v>60000</v>
      </c>
      <c r="P157" s="863">
        <v>60000</v>
      </c>
    </row>
    <row r="158" spans="1:16" hidden="1">
      <c r="A158" s="773">
        <v>6171</v>
      </c>
      <c r="B158" s="772">
        <v>5161</v>
      </c>
      <c r="C158" s="785" t="s">
        <v>703</v>
      </c>
      <c r="D158" s="784">
        <v>5000</v>
      </c>
      <c r="E158" s="784">
        <v>5000</v>
      </c>
      <c r="F158" s="784">
        <v>10071</v>
      </c>
      <c r="G158" s="784">
        <f>12000-F158</f>
        <v>1929</v>
      </c>
      <c r="H158" s="784">
        <f t="shared" si="17"/>
        <v>12000</v>
      </c>
      <c r="I158" s="802">
        <f t="shared" si="19"/>
        <v>12000</v>
      </c>
      <c r="J158" s="810"/>
      <c r="K158" s="802">
        <v>1718</v>
      </c>
      <c r="L158" s="802">
        <v>5000</v>
      </c>
      <c r="M158" s="825">
        <v>3000</v>
      </c>
      <c r="N158" s="825">
        <v>5000</v>
      </c>
      <c r="O158" s="825">
        <v>5000</v>
      </c>
      <c r="P158" s="863">
        <v>5000</v>
      </c>
    </row>
    <row r="159" spans="1:16" hidden="1">
      <c r="A159" s="773">
        <v>6171</v>
      </c>
      <c r="B159" s="772">
        <v>5162</v>
      </c>
      <c r="C159" s="785" t="s">
        <v>704</v>
      </c>
      <c r="D159" s="784">
        <v>25000</v>
      </c>
      <c r="E159" s="784">
        <v>25000</v>
      </c>
      <c r="F159" s="784">
        <v>19428.080000000002</v>
      </c>
      <c r="G159" s="784">
        <f t="shared" si="20"/>
        <v>5571.9199999999983</v>
      </c>
      <c r="H159" s="784">
        <f t="shared" si="17"/>
        <v>25000</v>
      </c>
      <c r="I159" s="802">
        <f t="shared" si="19"/>
        <v>25000</v>
      </c>
      <c r="J159" s="810"/>
      <c r="K159" s="802">
        <v>28542</v>
      </c>
      <c r="L159" s="802">
        <v>30000</v>
      </c>
      <c r="M159" s="825">
        <v>30000</v>
      </c>
      <c r="N159" s="825">
        <v>30000</v>
      </c>
      <c r="O159" s="825">
        <v>35000</v>
      </c>
      <c r="P159" s="863">
        <v>35000</v>
      </c>
    </row>
    <row r="160" spans="1:16" hidden="1">
      <c r="A160" s="773">
        <v>6171</v>
      </c>
      <c r="B160" s="772">
        <v>5163</v>
      </c>
      <c r="C160" s="785" t="s">
        <v>705</v>
      </c>
      <c r="D160" s="784">
        <v>30000</v>
      </c>
      <c r="E160" s="784">
        <v>30000</v>
      </c>
      <c r="F160" s="784">
        <v>23564.799999999999</v>
      </c>
      <c r="G160" s="784">
        <f t="shared" si="20"/>
        <v>6435.2000000000007</v>
      </c>
      <c r="H160" s="784">
        <f t="shared" si="17"/>
        <v>30000</v>
      </c>
      <c r="I160" s="802">
        <f t="shared" si="19"/>
        <v>30000</v>
      </c>
      <c r="J160" s="810"/>
      <c r="K160" s="802">
        <v>70124</v>
      </c>
      <c r="L160" s="802">
        <v>70500</v>
      </c>
      <c r="M160" s="825">
        <v>90000</v>
      </c>
      <c r="N160" s="825">
        <v>90000</v>
      </c>
      <c r="O160" s="825">
        <v>90000</v>
      </c>
      <c r="P160" s="863">
        <v>90000</v>
      </c>
    </row>
    <row r="161" spans="1:16" hidden="1">
      <c r="A161" s="773">
        <v>6171</v>
      </c>
      <c r="B161" s="772">
        <v>5166</v>
      </c>
      <c r="C161" s="785" t="s">
        <v>706</v>
      </c>
      <c r="D161" s="784">
        <v>100000</v>
      </c>
      <c r="E161" s="784">
        <v>100000</v>
      </c>
      <c r="F161" s="784">
        <v>25168</v>
      </c>
      <c r="G161" s="784">
        <f t="shared" si="20"/>
        <v>74832</v>
      </c>
      <c r="H161" s="784">
        <f t="shared" si="17"/>
        <v>100000</v>
      </c>
      <c r="I161" s="802">
        <f t="shared" si="19"/>
        <v>100000</v>
      </c>
      <c r="J161" s="810"/>
      <c r="K161" s="802">
        <v>44162</v>
      </c>
      <c r="L161" s="802">
        <v>100000</v>
      </c>
      <c r="M161" s="825">
        <v>450000</v>
      </c>
      <c r="N161" s="825">
        <v>200000</v>
      </c>
      <c r="O161" s="825">
        <v>400000</v>
      </c>
      <c r="P161" s="863">
        <v>1000000</v>
      </c>
    </row>
    <row r="162" spans="1:16" hidden="1">
      <c r="A162" s="773">
        <v>6171</v>
      </c>
      <c r="B162" s="772">
        <v>5167</v>
      </c>
      <c r="C162" s="785" t="s">
        <v>707</v>
      </c>
      <c r="D162" s="784">
        <v>5000</v>
      </c>
      <c r="E162" s="784">
        <v>5000</v>
      </c>
      <c r="F162" s="784">
        <v>1000</v>
      </c>
      <c r="G162" s="784">
        <f t="shared" si="20"/>
        <v>4000</v>
      </c>
      <c r="H162" s="784">
        <f t="shared" si="17"/>
        <v>5000</v>
      </c>
      <c r="I162" s="802">
        <f t="shared" si="19"/>
        <v>5000</v>
      </c>
      <c r="J162" s="810"/>
      <c r="K162" s="802">
        <v>800</v>
      </c>
      <c r="L162" s="802">
        <v>5000</v>
      </c>
      <c r="M162" s="825"/>
      <c r="N162" s="825">
        <v>5000</v>
      </c>
      <c r="O162" s="825"/>
      <c r="P162" s="863">
        <v>30000</v>
      </c>
    </row>
    <row r="163" spans="1:16" hidden="1">
      <c r="A163" s="773">
        <v>6171</v>
      </c>
      <c r="B163" s="772">
        <v>5168</v>
      </c>
      <c r="C163" s="785" t="s">
        <v>708</v>
      </c>
      <c r="D163" s="784">
        <v>230000</v>
      </c>
      <c r="E163" s="784">
        <v>230000</v>
      </c>
      <c r="F163" s="784">
        <v>208858.12</v>
      </c>
      <c r="G163" s="784">
        <f t="shared" si="20"/>
        <v>21141.880000000005</v>
      </c>
      <c r="H163" s="784">
        <f t="shared" si="17"/>
        <v>230000</v>
      </c>
      <c r="I163" s="802">
        <f t="shared" si="19"/>
        <v>230000</v>
      </c>
      <c r="J163" s="810"/>
      <c r="K163" s="802">
        <v>189141</v>
      </c>
      <c r="L163" s="802">
        <v>230000</v>
      </c>
      <c r="M163" s="825">
        <v>250000</v>
      </c>
      <c r="N163" s="825">
        <v>300000</v>
      </c>
      <c r="O163" s="825">
        <v>300000</v>
      </c>
      <c r="P163" s="863">
        <v>350000</v>
      </c>
    </row>
    <row r="164" spans="1:16" hidden="1">
      <c r="A164" s="773">
        <v>6171</v>
      </c>
      <c r="B164" s="772">
        <v>5169</v>
      </c>
      <c r="C164" s="785" t="s">
        <v>709</v>
      </c>
      <c r="D164" s="784">
        <v>70000</v>
      </c>
      <c r="E164" s="784">
        <v>70000</v>
      </c>
      <c r="F164" s="784">
        <v>18863.400000000001</v>
      </c>
      <c r="G164" s="784">
        <f t="shared" si="20"/>
        <v>51136.6</v>
      </c>
      <c r="H164" s="784">
        <f t="shared" si="17"/>
        <v>70000</v>
      </c>
      <c r="I164" s="802">
        <f t="shared" si="19"/>
        <v>70000</v>
      </c>
      <c r="J164" s="810"/>
      <c r="K164" s="802">
        <v>15578</v>
      </c>
      <c r="L164" s="802">
        <v>50000</v>
      </c>
      <c r="M164" s="825">
        <v>75000</v>
      </c>
      <c r="N164" s="825">
        <v>50000</v>
      </c>
      <c r="O164" s="825">
        <v>130000</v>
      </c>
      <c r="P164" s="863">
        <v>150000</v>
      </c>
    </row>
    <row r="165" spans="1:16" hidden="1">
      <c r="A165" s="773">
        <v>6171</v>
      </c>
      <c r="B165" s="772">
        <v>5171</v>
      </c>
      <c r="C165" s="785" t="s">
        <v>710</v>
      </c>
      <c r="D165" s="784">
        <v>50000</v>
      </c>
      <c r="E165" s="784">
        <v>350000</v>
      </c>
      <c r="F165" s="784">
        <v>34740.69</v>
      </c>
      <c r="G165" s="784">
        <f t="shared" si="20"/>
        <v>315259.31</v>
      </c>
      <c r="H165" s="784">
        <f t="shared" si="17"/>
        <v>350000</v>
      </c>
      <c r="I165" s="802">
        <f t="shared" si="19"/>
        <v>350000</v>
      </c>
      <c r="J165" s="810"/>
      <c r="K165" s="802">
        <v>178861</v>
      </c>
      <c r="L165" s="802">
        <v>200000</v>
      </c>
      <c r="M165" s="825">
        <v>40000</v>
      </c>
      <c r="N165" s="825">
        <v>100000</v>
      </c>
      <c r="O165" s="825">
        <v>5000</v>
      </c>
      <c r="P165" s="863">
        <v>50000</v>
      </c>
    </row>
    <row r="166" spans="1:16" hidden="1">
      <c r="A166" s="773">
        <v>6171</v>
      </c>
      <c r="B166" s="772">
        <v>5172</v>
      </c>
      <c r="C166" s="785" t="s">
        <v>711</v>
      </c>
      <c r="D166" s="784"/>
      <c r="E166" s="784"/>
      <c r="F166" s="784"/>
      <c r="G166" s="784"/>
      <c r="H166" s="784"/>
      <c r="I166" s="802"/>
      <c r="J166" s="810"/>
      <c r="K166" s="802"/>
      <c r="L166" s="802"/>
      <c r="M166" s="825"/>
      <c r="N166" s="825"/>
      <c r="O166" s="825">
        <v>31000</v>
      </c>
      <c r="P166" s="863">
        <v>50000</v>
      </c>
    </row>
    <row r="167" spans="1:16" hidden="1">
      <c r="A167" s="773">
        <v>6171</v>
      </c>
      <c r="B167" s="772">
        <v>5173</v>
      </c>
      <c r="C167" s="785" t="s">
        <v>712</v>
      </c>
      <c r="D167" s="784">
        <v>500</v>
      </c>
      <c r="E167" s="784">
        <v>500</v>
      </c>
      <c r="F167" s="784"/>
      <c r="G167" s="784">
        <f t="shared" si="20"/>
        <v>500</v>
      </c>
      <c r="H167" s="784">
        <f t="shared" si="17"/>
        <v>500</v>
      </c>
      <c r="I167" s="802">
        <f t="shared" si="19"/>
        <v>500</v>
      </c>
      <c r="J167" s="810"/>
      <c r="K167" s="802"/>
      <c r="L167" s="802">
        <v>500</v>
      </c>
      <c r="M167" s="825"/>
      <c r="N167" s="825"/>
      <c r="O167" s="825"/>
      <c r="P167" s="863">
        <v>10000</v>
      </c>
    </row>
    <row r="168" spans="1:16" hidden="1">
      <c r="A168" s="773">
        <v>6171</v>
      </c>
      <c r="B168" s="772">
        <v>5175</v>
      </c>
      <c r="C168" s="785" t="s">
        <v>713</v>
      </c>
      <c r="D168" s="784">
        <v>10000</v>
      </c>
      <c r="E168" s="784">
        <v>10000</v>
      </c>
      <c r="F168" s="784">
        <v>15750</v>
      </c>
      <c r="G168" s="784">
        <f>20000-F168</f>
        <v>4250</v>
      </c>
      <c r="H168" s="784">
        <f t="shared" si="17"/>
        <v>20000</v>
      </c>
      <c r="I168" s="802">
        <f t="shared" si="19"/>
        <v>20000</v>
      </c>
      <c r="J168" s="810"/>
      <c r="K168" s="802">
        <v>8033</v>
      </c>
      <c r="L168" s="802">
        <v>20000</v>
      </c>
      <c r="M168" s="825">
        <v>20000</v>
      </c>
      <c r="N168" s="825">
        <v>20000</v>
      </c>
      <c r="O168" s="825">
        <v>20000</v>
      </c>
      <c r="P168" s="863">
        <v>20000</v>
      </c>
    </row>
    <row r="169" spans="1:16" hidden="1">
      <c r="A169" s="773">
        <v>6171</v>
      </c>
      <c r="B169" s="772">
        <v>5229</v>
      </c>
      <c r="C169" s="785" t="s">
        <v>714</v>
      </c>
      <c r="D169" s="784">
        <v>150000</v>
      </c>
      <c r="E169" s="784">
        <v>150000</v>
      </c>
      <c r="F169" s="784">
        <v>10820</v>
      </c>
      <c r="G169" s="784">
        <f t="shared" si="20"/>
        <v>139180</v>
      </c>
      <c r="H169" s="784">
        <f t="shared" si="17"/>
        <v>150000</v>
      </c>
      <c r="I169" s="802">
        <f>H169</f>
        <v>150000</v>
      </c>
      <c r="J169" s="810"/>
      <c r="K169" s="802">
        <v>277586</v>
      </c>
      <c r="L169" s="802">
        <v>150000</v>
      </c>
      <c r="M169" s="825">
        <v>150000</v>
      </c>
      <c r="N169" s="825">
        <v>150000</v>
      </c>
      <c r="O169" s="825">
        <v>70000</v>
      </c>
      <c r="P169" s="863">
        <v>250000</v>
      </c>
    </row>
    <row r="170" spans="1:16" hidden="1">
      <c r="A170" s="773">
        <v>6171</v>
      </c>
      <c r="B170" s="772">
        <v>5321</v>
      </c>
      <c r="C170" s="785" t="s">
        <v>715</v>
      </c>
      <c r="D170" s="784">
        <v>100000</v>
      </c>
      <c r="E170" s="784">
        <v>100000</v>
      </c>
      <c r="F170" s="784">
        <v>52400</v>
      </c>
      <c r="G170" s="784">
        <f t="shared" si="20"/>
        <v>47600</v>
      </c>
      <c r="H170" s="784">
        <f t="shared" si="17"/>
        <v>100000</v>
      </c>
      <c r="I170" s="802">
        <f>H170</f>
        <v>100000</v>
      </c>
      <c r="J170" s="810"/>
      <c r="K170" s="802">
        <v>100000</v>
      </c>
      <c r="L170" s="802">
        <v>100000</v>
      </c>
      <c r="M170" s="825">
        <v>100000</v>
      </c>
      <c r="N170" s="825">
        <v>200000</v>
      </c>
      <c r="O170" s="825">
        <v>200000</v>
      </c>
      <c r="P170" s="863">
        <v>200000</v>
      </c>
    </row>
    <row r="171" spans="1:16" hidden="1">
      <c r="A171" s="773">
        <v>6171</v>
      </c>
      <c r="B171" s="772">
        <v>5329</v>
      </c>
      <c r="C171" s="785" t="s">
        <v>716</v>
      </c>
      <c r="D171" s="784"/>
      <c r="E171" s="784">
        <v>33200</v>
      </c>
      <c r="F171" s="784">
        <v>33200</v>
      </c>
      <c r="G171" s="784">
        <f t="shared" si="20"/>
        <v>0</v>
      </c>
      <c r="H171" s="784">
        <f t="shared" si="17"/>
        <v>33200</v>
      </c>
      <c r="I171" s="802">
        <f>H171</f>
        <v>33200</v>
      </c>
      <c r="J171" s="810"/>
      <c r="K171" s="802">
        <v>35020</v>
      </c>
      <c r="L171" s="802">
        <v>35500</v>
      </c>
      <c r="M171" s="825">
        <v>36000</v>
      </c>
      <c r="N171" s="825">
        <v>37000</v>
      </c>
      <c r="O171" s="825"/>
      <c r="P171" s="863">
        <v>500000</v>
      </c>
    </row>
    <row r="172" spans="1:16" hidden="1">
      <c r="A172" s="773">
        <v>6171</v>
      </c>
      <c r="B172" s="772">
        <v>5364</v>
      </c>
      <c r="C172" s="785" t="s">
        <v>717</v>
      </c>
      <c r="D172" s="784">
        <v>30000</v>
      </c>
      <c r="E172" s="784">
        <v>30000</v>
      </c>
      <c r="F172" s="784"/>
      <c r="G172" s="784">
        <f t="shared" si="20"/>
        <v>30000</v>
      </c>
      <c r="H172" s="784">
        <f t="shared" si="17"/>
        <v>30000</v>
      </c>
      <c r="I172" s="802">
        <f>H172</f>
        <v>30000</v>
      </c>
      <c r="J172" s="811">
        <v>-30000</v>
      </c>
      <c r="K172" s="802"/>
      <c r="L172" s="802"/>
      <c r="M172" s="825"/>
      <c r="N172" s="825"/>
      <c r="O172" s="825">
        <v>112200</v>
      </c>
      <c r="P172" s="863"/>
    </row>
    <row r="173" spans="1:16" hidden="1">
      <c r="A173" s="773">
        <v>6171</v>
      </c>
      <c r="B173" s="772">
        <v>5492</v>
      </c>
      <c r="C173" s="785" t="s">
        <v>718</v>
      </c>
      <c r="D173" s="784"/>
      <c r="E173" s="784"/>
      <c r="F173" s="784"/>
      <c r="G173" s="784"/>
      <c r="H173" s="784"/>
      <c r="I173" s="802"/>
      <c r="J173" s="811"/>
      <c r="K173" s="802"/>
      <c r="L173" s="802"/>
      <c r="M173" s="825"/>
      <c r="N173" s="825"/>
      <c r="O173" s="825">
        <v>39000</v>
      </c>
      <c r="P173" s="863">
        <v>100000</v>
      </c>
    </row>
    <row r="174" spans="1:16" hidden="1">
      <c r="A174" s="836">
        <v>6171</v>
      </c>
      <c r="B174" s="837">
        <v>6121</v>
      </c>
      <c r="C174" s="838" t="s">
        <v>719</v>
      </c>
      <c r="D174" s="839">
        <v>1000000</v>
      </c>
      <c r="E174" s="839">
        <v>200000</v>
      </c>
      <c r="F174" s="839"/>
      <c r="G174" s="839" t="e">
        <f>#REF!</f>
        <v>#REF!</v>
      </c>
      <c r="H174" s="839" t="e">
        <f t="shared" si="17"/>
        <v>#REF!</v>
      </c>
      <c r="I174" s="840" t="e">
        <f>#REF!</f>
        <v>#REF!</v>
      </c>
      <c r="J174" s="840">
        <v>1200000</v>
      </c>
      <c r="K174" s="840"/>
      <c r="L174" s="840"/>
      <c r="M174" s="842"/>
      <c r="N174" s="842"/>
      <c r="O174" s="842"/>
      <c r="P174" s="901">
        <v>3500000</v>
      </c>
    </row>
    <row r="175" spans="1:16" hidden="1">
      <c r="A175" s="836">
        <v>6171</v>
      </c>
      <c r="B175" s="837">
        <v>6122</v>
      </c>
      <c r="C175" s="838" t="s">
        <v>721</v>
      </c>
      <c r="D175" s="839"/>
      <c r="E175" s="839"/>
      <c r="F175" s="839"/>
      <c r="G175" s="839"/>
      <c r="H175" s="839"/>
      <c r="I175" s="840"/>
      <c r="J175" s="840"/>
      <c r="K175" s="840"/>
      <c r="L175" s="840"/>
      <c r="M175" s="842"/>
      <c r="N175" s="842"/>
      <c r="O175" s="842">
        <v>300000</v>
      </c>
      <c r="P175" s="901"/>
    </row>
    <row r="176" spans="1:16" s="120" customFormat="1">
      <c r="A176" s="773">
        <v>6171</v>
      </c>
      <c r="B176" s="772" t="s">
        <v>1188</v>
      </c>
      <c r="C176" s="785" t="s">
        <v>1196</v>
      </c>
      <c r="D176" s="784"/>
      <c r="E176" s="784"/>
      <c r="F176" s="784"/>
      <c r="G176" s="784"/>
      <c r="H176" s="784"/>
      <c r="I176" s="802"/>
      <c r="J176" s="802"/>
      <c r="K176" s="802"/>
      <c r="L176" s="802"/>
      <c r="M176" s="825"/>
      <c r="N176" s="825">
        <f>SUM(N148:N175)</f>
        <v>3008000</v>
      </c>
      <c r="O176" s="825">
        <f>SUM(O148:O175)</f>
        <v>3818200</v>
      </c>
      <c r="P176" s="863">
        <f>SUM(P148:P175)</f>
        <v>10285000</v>
      </c>
    </row>
    <row r="177" spans="1:16" hidden="1">
      <c r="A177" s="773">
        <v>6310</v>
      </c>
      <c r="B177" s="772">
        <v>5141</v>
      </c>
      <c r="C177" s="785" t="s">
        <v>722</v>
      </c>
      <c r="D177" s="784">
        <v>200000</v>
      </c>
      <c r="E177" s="784">
        <v>200000</v>
      </c>
      <c r="F177" s="784">
        <v>99018.94</v>
      </c>
      <c r="G177" s="784">
        <f>4*11000</f>
        <v>44000</v>
      </c>
      <c r="H177" s="784">
        <f t="shared" si="17"/>
        <v>143018.94</v>
      </c>
      <c r="I177" s="802">
        <f>12*10500</f>
        <v>126000</v>
      </c>
      <c r="J177" s="810"/>
      <c r="K177" s="802">
        <v>103446</v>
      </c>
      <c r="L177" s="802">
        <v>126000</v>
      </c>
      <c r="M177" s="825">
        <v>110000</v>
      </c>
      <c r="N177" s="825">
        <v>110000</v>
      </c>
      <c r="O177" s="825">
        <v>60000</v>
      </c>
      <c r="P177" s="863">
        <v>70000</v>
      </c>
    </row>
    <row r="178" spans="1:16" hidden="1">
      <c r="A178" s="773">
        <v>6310</v>
      </c>
      <c r="B178" s="772">
        <v>5163</v>
      </c>
      <c r="C178" s="785" t="s">
        <v>723</v>
      </c>
      <c r="D178" s="784">
        <v>20000</v>
      </c>
      <c r="E178" s="784">
        <v>20000</v>
      </c>
      <c r="F178" s="784">
        <v>10436.4</v>
      </c>
      <c r="G178" s="784">
        <f t="shared" si="20"/>
        <v>9563.6</v>
      </c>
      <c r="H178" s="784">
        <f t="shared" si="17"/>
        <v>20000</v>
      </c>
      <c r="I178" s="802">
        <f>H178</f>
        <v>20000</v>
      </c>
      <c r="J178" s="810"/>
      <c r="K178" s="802">
        <v>5410</v>
      </c>
      <c r="L178" s="802">
        <v>15000</v>
      </c>
      <c r="M178" s="825">
        <v>10000</v>
      </c>
      <c r="N178" s="825">
        <v>10000</v>
      </c>
      <c r="O178" s="825">
        <v>10000</v>
      </c>
      <c r="P178" s="863">
        <v>10000</v>
      </c>
    </row>
    <row r="179" spans="1:16" hidden="1">
      <c r="A179" s="773">
        <v>6310</v>
      </c>
      <c r="B179" s="772">
        <v>5362</v>
      </c>
      <c r="C179" s="785" t="s">
        <v>724</v>
      </c>
      <c r="D179" s="784">
        <v>600000</v>
      </c>
      <c r="E179" s="784">
        <v>600000</v>
      </c>
      <c r="F179" s="784">
        <v>202083</v>
      </c>
      <c r="G179" s="784">
        <f t="shared" si="20"/>
        <v>397917</v>
      </c>
      <c r="H179" s="784">
        <f t="shared" si="17"/>
        <v>600000</v>
      </c>
      <c r="I179" s="802">
        <f>H179</f>
        <v>600000</v>
      </c>
      <c r="J179" s="810"/>
      <c r="K179" s="802">
        <v>85109</v>
      </c>
      <c r="L179" s="802">
        <v>300000</v>
      </c>
      <c r="M179" s="825">
        <v>270000</v>
      </c>
      <c r="N179" s="825">
        <v>270000</v>
      </c>
      <c r="O179" s="825">
        <v>120000</v>
      </c>
      <c r="P179" s="863">
        <v>200000</v>
      </c>
    </row>
    <row r="180" spans="1:16" hidden="1">
      <c r="A180" s="773">
        <v>6399</v>
      </c>
      <c r="B180" s="772">
        <v>5362</v>
      </c>
      <c r="C180" s="785" t="s">
        <v>725</v>
      </c>
      <c r="D180" s="784">
        <v>200000</v>
      </c>
      <c r="E180" s="784">
        <v>200000</v>
      </c>
      <c r="F180" s="784"/>
      <c r="G180" s="784">
        <f t="shared" si="20"/>
        <v>200000</v>
      </c>
      <c r="H180" s="784">
        <f t="shared" si="17"/>
        <v>200000</v>
      </c>
      <c r="I180" s="802">
        <f>H180</f>
        <v>200000</v>
      </c>
      <c r="J180" s="811">
        <v>-200000</v>
      </c>
      <c r="K180" s="802"/>
      <c r="L180" s="802">
        <v>200000</v>
      </c>
      <c r="M180" s="825">
        <v>620007</v>
      </c>
      <c r="N180" s="825">
        <v>600000</v>
      </c>
      <c r="O180" s="825">
        <v>87000</v>
      </c>
      <c r="P180" s="863">
        <v>100000</v>
      </c>
    </row>
    <row r="181" spans="1:16">
      <c r="A181" s="986" t="s">
        <v>1220</v>
      </c>
      <c r="B181" s="987" t="s">
        <v>1188</v>
      </c>
      <c r="C181" s="988" t="s">
        <v>1221</v>
      </c>
      <c r="D181" s="989"/>
      <c r="E181" s="989"/>
      <c r="F181" s="989"/>
      <c r="G181" s="989"/>
      <c r="H181" s="989"/>
      <c r="I181" s="990"/>
      <c r="J181" s="991"/>
      <c r="K181" s="990"/>
      <c r="L181" s="990"/>
      <c r="M181" s="992"/>
      <c r="N181" s="992">
        <f>SUM(N177:N180)</f>
        <v>990000</v>
      </c>
      <c r="O181" s="992">
        <f>SUM(O177:O180)</f>
        <v>277000</v>
      </c>
      <c r="P181" s="993">
        <f>SUM(P177:P180)</f>
        <v>380000</v>
      </c>
    </row>
    <row r="182" spans="1:16" ht="14" thickBot="1">
      <c r="A182" s="1095" t="s">
        <v>726</v>
      </c>
      <c r="B182" s="1096"/>
      <c r="C182" s="1096"/>
      <c r="D182" s="782">
        <f t="shared" ref="D182:M182" si="21">SUM(D51:D180)</f>
        <v>43881900</v>
      </c>
      <c r="E182" s="782">
        <f t="shared" si="21"/>
        <v>46585900</v>
      </c>
      <c r="F182" s="782">
        <f t="shared" si="21"/>
        <v>33123496.800000001</v>
      </c>
      <c r="G182" s="782" t="e">
        <f t="shared" si="21"/>
        <v>#REF!</v>
      </c>
      <c r="H182" s="782" t="e">
        <f t="shared" si="21"/>
        <v>#REF!</v>
      </c>
      <c r="I182" s="801" t="e">
        <f t="shared" si="21"/>
        <v>#REF!</v>
      </c>
      <c r="J182" s="818">
        <f t="shared" si="21"/>
        <v>-238851</v>
      </c>
      <c r="K182" s="801">
        <f t="shared" si="21"/>
        <v>14623430</v>
      </c>
      <c r="L182" s="801" t="e">
        <f t="shared" si="21"/>
        <v>#REF!</v>
      </c>
      <c r="M182" s="865">
        <f t="shared" si="21"/>
        <v>19701107</v>
      </c>
      <c r="N182" s="865">
        <f>N50+N51+N52+N53+N58+N59+N73+N76+N86+N90+N91+N96+N101+N104+N108+N109+N114+N120+N129+N130+N139+N144+N147+N176+N181</f>
        <v>33884100</v>
      </c>
      <c r="O182" s="858">
        <f>O50+O51+O52+O53+O58+O59+O73+O76+O86+O90+O91+O96+O101+O104+O108+O109+O114+O120+O128+O129+O130+O139+O144+O147+O176+O181</f>
        <v>32750895</v>
      </c>
      <c r="P182" s="859">
        <f>P50+P51+P52+P53+P58+P59+P73+P76+P86+P90+P91+P96+P101+P104+P108+P109+P114+P120+P128+P129+P130+P139+P144+P147+P176+P181</f>
        <v>99383000</v>
      </c>
    </row>
    <row r="183" spans="1:16" ht="14" thickBot="1">
      <c r="A183" s="952"/>
      <c r="B183" s="952"/>
      <c r="C183" s="788"/>
      <c r="D183" s="787"/>
      <c r="E183" s="787"/>
      <c r="F183" s="787"/>
      <c r="G183" s="953"/>
      <c r="H183" s="954"/>
      <c r="I183" s="954"/>
      <c r="J183" s="795"/>
      <c r="K183" s="954"/>
      <c r="L183" s="954"/>
      <c r="M183" s="826"/>
      <c r="N183" s="826"/>
    </row>
    <row r="184" spans="1:16">
      <c r="A184" s="1093" t="s">
        <v>727</v>
      </c>
      <c r="B184" s="1094"/>
      <c r="C184" s="1094"/>
      <c r="D184" s="797" t="e">
        <f t="shared" ref="D184:I184" si="22">D182-D185</f>
        <v>#REF!</v>
      </c>
      <c r="E184" s="797" t="e">
        <f t="shared" si="22"/>
        <v>#REF!</v>
      </c>
      <c r="F184" s="797" t="e">
        <f t="shared" si="22"/>
        <v>#REF!</v>
      </c>
      <c r="G184" s="797" t="e">
        <f t="shared" si="22"/>
        <v>#REF!</v>
      </c>
      <c r="H184" s="797" t="e">
        <f t="shared" si="22"/>
        <v>#REF!</v>
      </c>
      <c r="I184" s="804" t="e">
        <f t="shared" si="22"/>
        <v>#REF!</v>
      </c>
      <c r="J184" s="817"/>
      <c r="K184" s="804" t="e">
        <f t="shared" ref="K184:P184" si="23">K182-K185</f>
        <v>#REF!</v>
      </c>
      <c r="L184" s="804" t="e">
        <f t="shared" si="23"/>
        <v>#REF!</v>
      </c>
      <c r="M184" s="829" t="e">
        <f t="shared" si="23"/>
        <v>#REF!</v>
      </c>
      <c r="N184" s="833">
        <f>N182-N185</f>
        <v>16824100</v>
      </c>
      <c r="O184" s="828">
        <f t="shared" si="23"/>
        <v>25135895</v>
      </c>
      <c r="P184" s="828">
        <f t="shared" si="23"/>
        <v>37903000</v>
      </c>
    </row>
    <row r="185" spans="1:16">
      <c r="A185" s="1097" t="s">
        <v>728</v>
      </c>
      <c r="B185" s="1098"/>
      <c r="C185" s="1098"/>
      <c r="D185" s="792" t="e">
        <f>#REF!+D57+D75+D85+#REF!+D89+D100+D107+#REF!+D126+D127+#REF!+D138+#REF!+D174</f>
        <v>#REF!</v>
      </c>
      <c r="E185" s="792" t="e">
        <f>#REF!+E57+E75+E85+#REF!+E89+E100+E107+#REF!+E126+E127+#REF!+E138+#REF!+E174</f>
        <v>#REF!</v>
      </c>
      <c r="F185" s="792" t="e">
        <f>#REF!+F57+F75+F85+#REF!+F89+F100+F107+#REF!+F126+F127+#REF!+F138+#REF!+F174</f>
        <v>#REF!</v>
      </c>
      <c r="G185" s="792" t="e">
        <f>#REF!+G57+G75+G85+#REF!+G89+G100+G107+#REF!+G126+G127+#REF!+G138+#REF!+G174</f>
        <v>#REF!</v>
      </c>
      <c r="H185" s="792" t="e">
        <f>#REF!+H57+H75+H85+#REF!+H89+H100+H107+#REF!+H126+H127+#REF!+H138+#REF!+H174</f>
        <v>#REF!</v>
      </c>
      <c r="I185" s="805" t="e">
        <f>#REF!+I57+I75+I85+#REF!+I89+I100+I107+#REF!+I126+I127+#REF!+I138+I174+I112+I113</f>
        <v>#REF!</v>
      </c>
      <c r="J185" s="810"/>
      <c r="K185" s="805" t="e">
        <f>#REF!+K57+K75+K85+#REF!+K89+K100+K107+#REF!+K126+K127+#REF!+K138+K174+K113+K72</f>
        <v>#REF!</v>
      </c>
      <c r="L185" s="805" t="e">
        <f>#REF!+L57+L75+#REF!+L85+L89+L100+L107+L126+L127+#REF!+L174+L138+L113+#REF!+L112</f>
        <v>#REF!</v>
      </c>
      <c r="M185" s="832" t="e">
        <f>#REF!+M57+M72+M75+#REF!+M85+#REF!+M88+M89+M99+M100+M107+M112+#REF!+M113+M126+M127+#REF!+M138+M174</f>
        <v>#REF!</v>
      </c>
      <c r="N185" s="834">
        <f>N57+N72+N75+N85+N88+N89+N99+N100+N107+N112+N113+N126+N127+N138+N174</f>
        <v>17060000</v>
      </c>
      <c r="O185" s="828">
        <f>+O57+O72+O75+O85+O88+O89+O99+O100+O103+O107+O111+O112+O113+O126+O127+O138+O174+O175</f>
        <v>7615000</v>
      </c>
      <c r="P185" s="828">
        <f>+P57+P72+P75+P85+P89+P99+P100+P103+P107+P111+P112+P113+P126+P127+P138+P174+P175</f>
        <v>61480000</v>
      </c>
    </row>
    <row r="186" spans="1:16" ht="14" thickBot="1">
      <c r="A186" s="1095" t="s">
        <v>726</v>
      </c>
      <c r="B186" s="1096"/>
      <c r="C186" s="1096"/>
      <c r="D186" s="782">
        <f t="shared" ref="D186:I186" si="24">D182</f>
        <v>43881900</v>
      </c>
      <c r="E186" s="782">
        <f t="shared" si="24"/>
        <v>46585900</v>
      </c>
      <c r="F186" s="782">
        <f t="shared" si="24"/>
        <v>33123496.800000001</v>
      </c>
      <c r="G186" s="782" t="e">
        <f t="shared" si="24"/>
        <v>#REF!</v>
      </c>
      <c r="H186" s="782" t="e">
        <f t="shared" si="24"/>
        <v>#REF!</v>
      </c>
      <c r="I186" s="801" t="e">
        <f t="shared" si="24"/>
        <v>#REF!</v>
      </c>
      <c r="J186" s="819"/>
      <c r="K186" s="801">
        <f>K182</f>
        <v>14623430</v>
      </c>
      <c r="L186" s="801" t="e">
        <f>L182</f>
        <v>#REF!</v>
      </c>
      <c r="M186" s="830" t="e">
        <f>SUM(M184:M185)</f>
        <v>#REF!</v>
      </c>
      <c r="N186" s="835">
        <f>SUM(N184:N185)</f>
        <v>33884100</v>
      </c>
      <c r="O186" s="828">
        <f>SUM(O184:O185)</f>
        <v>32750895</v>
      </c>
      <c r="P186" s="828">
        <f>SUM(P184:P185)</f>
        <v>99383000</v>
      </c>
    </row>
    <row r="187" spans="1:16">
      <c r="A187" s="952"/>
      <c r="B187" s="952"/>
      <c r="C187" s="788"/>
      <c r="D187" s="787"/>
      <c r="E187" s="787"/>
      <c r="F187" s="787"/>
      <c r="G187" s="953"/>
      <c r="H187" s="954"/>
      <c r="I187" s="954"/>
      <c r="J187" s="795"/>
      <c r="K187" s="954"/>
      <c r="L187" s="954"/>
      <c r="M187" s="826"/>
      <c r="N187" s="831"/>
    </row>
    <row r="188" spans="1:16" ht="14" thickBot="1">
      <c r="A188" s="952"/>
      <c r="B188" s="952"/>
      <c r="C188" s="788"/>
      <c r="D188" s="787"/>
      <c r="E188" s="787"/>
      <c r="F188" s="787"/>
      <c r="G188" s="953"/>
      <c r="H188" s="954"/>
      <c r="I188" s="954"/>
      <c r="J188" s="795"/>
      <c r="K188" s="954"/>
      <c r="L188" s="954"/>
      <c r="M188" s="826"/>
      <c r="N188" s="826"/>
    </row>
    <row r="189" spans="1:16">
      <c r="A189" s="1093" t="s">
        <v>729</v>
      </c>
      <c r="B189" s="1094"/>
      <c r="C189" s="1094"/>
      <c r="D189" s="798"/>
      <c r="E189" s="798"/>
      <c r="F189" s="798"/>
      <c r="G189" s="798"/>
      <c r="H189" s="798"/>
      <c r="I189" s="806"/>
      <c r="J189" s="817"/>
      <c r="K189" s="806"/>
      <c r="L189" s="806"/>
      <c r="M189" s="880"/>
      <c r="N189" s="880"/>
      <c r="O189" s="880"/>
      <c r="P189" s="881"/>
    </row>
    <row r="190" spans="1:16">
      <c r="A190" s="773">
        <v>8124</v>
      </c>
      <c r="B190" s="772">
        <v>8124</v>
      </c>
      <c r="C190" s="785" t="s">
        <v>730</v>
      </c>
      <c r="D190" s="784">
        <f>2800000-800000</f>
        <v>2000000</v>
      </c>
      <c r="E190" s="784">
        <v>2000000</v>
      </c>
      <c r="F190" s="784">
        <v>1361446</v>
      </c>
      <c r="G190" s="784">
        <f>4*125000</f>
        <v>500000</v>
      </c>
      <c r="H190" s="784">
        <f>G190+F190</f>
        <v>1861446</v>
      </c>
      <c r="I190" s="802">
        <f>12*125000</f>
        <v>1500000</v>
      </c>
      <c r="J190" s="810"/>
      <c r="K190" s="802">
        <f>12*125000</f>
        <v>1500000</v>
      </c>
      <c r="L190" s="802">
        <f>12*125000</f>
        <v>1500000</v>
      </c>
      <c r="M190" s="825">
        <v>1500000</v>
      </c>
      <c r="N190" s="825">
        <v>1500000</v>
      </c>
      <c r="O190" s="825">
        <v>1500000</v>
      </c>
      <c r="P190" s="863">
        <v>1500000</v>
      </c>
    </row>
    <row r="191" spans="1:16" ht="14" thickBot="1">
      <c r="A191" s="1095" t="s">
        <v>731</v>
      </c>
      <c r="B191" s="1096"/>
      <c r="C191" s="1096"/>
      <c r="D191" s="782" t="e">
        <f>#REF!-D189+D190</f>
        <v>#REF!</v>
      </c>
      <c r="E191" s="782" t="e">
        <f>#REF!-E189+E190</f>
        <v>#REF!</v>
      </c>
      <c r="F191" s="782" t="e">
        <f>#REF!-F189+F190</f>
        <v>#REF!</v>
      </c>
      <c r="G191" s="782" t="e">
        <f>#REF!-G189+G190</f>
        <v>#REF!</v>
      </c>
      <c r="H191" s="782" t="e">
        <f>#REF!-H189+H190</f>
        <v>#REF!</v>
      </c>
      <c r="I191" s="801" t="e">
        <f>#REF!-I189+I190</f>
        <v>#REF!</v>
      </c>
      <c r="J191" s="819"/>
      <c r="K191" s="801" t="e">
        <f>#REF!-K189+K190</f>
        <v>#REF!</v>
      </c>
      <c r="L191" s="801" t="e">
        <f>#REF!-L189+L190</f>
        <v>#REF!</v>
      </c>
      <c r="M191" s="865">
        <f>M182+M190</f>
        <v>21201107</v>
      </c>
      <c r="N191" s="865">
        <f>N182+N190</f>
        <v>35384100</v>
      </c>
      <c r="O191" s="858">
        <f>O186+O190</f>
        <v>34250895</v>
      </c>
      <c r="P191" s="859">
        <f>P186+P190</f>
        <v>100883000</v>
      </c>
    </row>
  </sheetData>
  <mergeCells count="11">
    <mergeCell ref="A182:C182"/>
    <mergeCell ref="A21:C21"/>
    <mergeCell ref="A40:C40"/>
    <mergeCell ref="A41:C41"/>
    <mergeCell ref="A42:C42"/>
    <mergeCell ref="A46:C46"/>
    <mergeCell ref="A184:C184"/>
    <mergeCell ref="A185:C185"/>
    <mergeCell ref="A186:C186"/>
    <mergeCell ref="A189:C189"/>
    <mergeCell ref="A191:C191"/>
  </mergeCells>
  <pageMargins left="0.7" right="0.7" top="0.78740157499999996" bottom="0.78740157499999996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00F69-305A-4B25-92DE-1563014D8E23}">
  <dimension ref="A1:S188"/>
  <sheetViews>
    <sheetView topLeftCell="A53" workbookViewId="0">
      <selection activeCell="A35" sqref="A35:XFD39"/>
    </sheetView>
  </sheetViews>
  <sheetFormatPr baseColWidth="10" defaultColWidth="8.83203125" defaultRowHeight="13"/>
  <cols>
    <col min="3" max="3" width="27.5" customWidth="1"/>
    <col min="4" max="15" width="6.5" hidden="1" customWidth="1"/>
    <col min="16" max="16" width="26.33203125" customWidth="1"/>
    <col min="19" max="19" width="16.1640625" customWidth="1"/>
  </cols>
  <sheetData>
    <row r="1" spans="1:16" ht="17" thickBot="1">
      <c r="A1" s="808" t="s">
        <v>1224</v>
      </c>
      <c r="B1" s="770"/>
      <c r="C1" s="780"/>
      <c r="D1" s="780"/>
      <c r="E1" s="780"/>
      <c r="F1" s="780"/>
      <c r="G1" s="780"/>
      <c r="H1" s="780"/>
      <c r="I1" s="780"/>
      <c r="J1" s="781"/>
      <c r="K1" s="780"/>
      <c r="L1" s="780"/>
      <c r="O1" s="826"/>
      <c r="P1" s="826"/>
    </row>
    <row r="2" spans="1:16" ht="49" thickBot="1">
      <c r="A2" s="796" t="s">
        <v>532</v>
      </c>
      <c r="B2" s="775" t="s">
        <v>376</v>
      </c>
      <c r="C2" s="774" t="s">
        <v>533</v>
      </c>
      <c r="D2" s="776" t="s">
        <v>534</v>
      </c>
      <c r="E2" s="776" t="s">
        <v>535</v>
      </c>
      <c r="F2" s="776" t="s">
        <v>536</v>
      </c>
      <c r="G2" s="776" t="s">
        <v>537</v>
      </c>
      <c r="H2" s="776" t="s">
        <v>538</v>
      </c>
      <c r="I2" s="800" t="s">
        <v>539</v>
      </c>
      <c r="J2" s="816" t="s">
        <v>540</v>
      </c>
      <c r="K2" s="800" t="s">
        <v>541</v>
      </c>
      <c r="L2" s="800">
        <v>2022</v>
      </c>
      <c r="M2" s="861" t="s">
        <v>542</v>
      </c>
      <c r="N2" s="861" t="s">
        <v>543</v>
      </c>
      <c r="O2" s="886" t="s">
        <v>544</v>
      </c>
      <c r="P2" s="862"/>
    </row>
    <row r="3" spans="1:16">
      <c r="A3" s="942"/>
      <c r="B3" s="943">
        <v>1111</v>
      </c>
      <c r="C3" s="790" t="s">
        <v>546</v>
      </c>
      <c r="D3" s="944">
        <v>4000000</v>
      </c>
      <c r="E3" s="944">
        <v>4000000</v>
      </c>
      <c r="F3" s="944">
        <v>2830187.77</v>
      </c>
      <c r="G3" s="944">
        <f>E3-F3+1184607</f>
        <v>2354419.23</v>
      </c>
      <c r="H3" s="944">
        <f>G3+F3</f>
        <v>5184607</v>
      </c>
      <c r="I3" s="945">
        <f>H3-2348647</f>
        <v>2835960</v>
      </c>
      <c r="J3" s="803"/>
      <c r="K3" s="945">
        <v>2776178</v>
      </c>
      <c r="L3" s="945">
        <v>2850000</v>
      </c>
      <c r="M3" s="825">
        <v>3400000</v>
      </c>
      <c r="N3" s="825">
        <v>3500000</v>
      </c>
      <c r="O3" s="825">
        <v>4443000</v>
      </c>
      <c r="P3" s="863">
        <v>5000000</v>
      </c>
    </row>
    <row r="4" spans="1:16">
      <c r="A4" s="773"/>
      <c r="B4" s="772">
        <v>1112</v>
      </c>
      <c r="C4" s="785" t="s">
        <v>548</v>
      </c>
      <c r="D4" s="784">
        <v>100000</v>
      </c>
      <c r="E4" s="784">
        <v>100000</v>
      </c>
      <c r="F4" s="784">
        <v>33015.269999999997</v>
      </c>
      <c r="G4" s="784">
        <v>44769</v>
      </c>
      <c r="H4" s="784">
        <f t="shared" ref="H4:H20" si="0">G4+F4</f>
        <v>77784.26999999999</v>
      </c>
      <c r="I4" s="802">
        <f t="shared" ref="I4:I20" si="1">H4</f>
        <v>77784.26999999999</v>
      </c>
      <c r="J4" s="803"/>
      <c r="K4" s="802">
        <v>141012</v>
      </c>
      <c r="L4" s="802">
        <v>150000</v>
      </c>
      <c r="M4" s="825">
        <v>300000</v>
      </c>
      <c r="N4" s="825">
        <v>400000</v>
      </c>
      <c r="O4" s="825">
        <v>330000</v>
      </c>
      <c r="P4" s="863">
        <v>350000</v>
      </c>
    </row>
    <row r="5" spans="1:16">
      <c r="A5" s="773"/>
      <c r="B5" s="772">
        <v>1113</v>
      </c>
      <c r="C5" s="785" t="s">
        <v>550</v>
      </c>
      <c r="D5" s="784">
        <v>390000</v>
      </c>
      <c r="E5" s="784">
        <v>390000</v>
      </c>
      <c r="F5" s="784">
        <v>262113.18</v>
      </c>
      <c r="G5" s="784">
        <f>E5-F5+96150</f>
        <v>224036.82</v>
      </c>
      <c r="H5" s="784">
        <f t="shared" si="0"/>
        <v>486150</v>
      </c>
      <c r="I5" s="802">
        <f t="shared" si="1"/>
        <v>486150</v>
      </c>
      <c r="J5" s="803"/>
      <c r="K5" s="802">
        <v>502179</v>
      </c>
      <c r="L5" s="802">
        <v>530000</v>
      </c>
      <c r="M5" s="825">
        <v>750000</v>
      </c>
      <c r="N5" s="825">
        <v>800000</v>
      </c>
      <c r="O5" s="825">
        <v>1100000</v>
      </c>
      <c r="P5" s="863">
        <v>1100000</v>
      </c>
    </row>
    <row r="6" spans="1:16">
      <c r="A6" s="773"/>
      <c r="B6" s="772">
        <v>1121</v>
      </c>
      <c r="C6" s="785" t="s">
        <v>552</v>
      </c>
      <c r="D6" s="784">
        <v>3600000</v>
      </c>
      <c r="E6" s="784">
        <v>3600000</v>
      </c>
      <c r="F6" s="784">
        <v>1915530.56</v>
      </c>
      <c r="G6" s="784">
        <f>E6-F6-600000+33576</f>
        <v>1118045.44</v>
      </c>
      <c r="H6" s="784">
        <f t="shared" si="0"/>
        <v>3033576</v>
      </c>
      <c r="I6" s="802">
        <f t="shared" si="1"/>
        <v>3033576</v>
      </c>
      <c r="J6" s="803"/>
      <c r="K6" s="802">
        <v>4519174</v>
      </c>
      <c r="L6" s="802">
        <v>4600000</v>
      </c>
      <c r="M6" s="825">
        <v>5800000</v>
      </c>
      <c r="N6" s="825">
        <v>5800000</v>
      </c>
      <c r="O6" s="825">
        <v>7600000</v>
      </c>
      <c r="P6" s="863">
        <v>8000000</v>
      </c>
    </row>
    <row r="7" spans="1:16">
      <c r="A7" s="773"/>
      <c r="B7" s="772">
        <v>1122</v>
      </c>
      <c r="C7" s="785" t="s">
        <v>553</v>
      </c>
      <c r="D7" s="784"/>
      <c r="E7" s="784"/>
      <c r="F7" s="784"/>
      <c r="G7" s="784"/>
      <c r="H7" s="784"/>
      <c r="I7" s="802"/>
      <c r="J7" s="803"/>
      <c r="K7" s="802"/>
      <c r="L7" s="802">
        <v>200000</v>
      </c>
      <c r="M7" s="825">
        <v>620007</v>
      </c>
      <c r="N7" s="825">
        <v>600000</v>
      </c>
      <c r="O7" s="825">
        <v>87000</v>
      </c>
      <c r="P7" s="863">
        <v>100000</v>
      </c>
    </row>
    <row r="8" spans="1:16">
      <c r="A8" s="773"/>
      <c r="B8" s="772">
        <v>1211</v>
      </c>
      <c r="C8" s="785" t="s">
        <v>554</v>
      </c>
      <c r="D8" s="784">
        <v>7700000</v>
      </c>
      <c r="E8" s="784">
        <v>7700000</v>
      </c>
      <c r="F8" s="784">
        <v>6046376.75</v>
      </c>
      <c r="G8" s="784">
        <f>E8-F8+2400000+60535</f>
        <v>4114158.25</v>
      </c>
      <c r="H8" s="784">
        <f t="shared" si="0"/>
        <v>10160535</v>
      </c>
      <c r="I8" s="802">
        <f t="shared" si="1"/>
        <v>10160535</v>
      </c>
      <c r="J8" s="803"/>
      <c r="K8" s="802">
        <v>8931306</v>
      </c>
      <c r="L8" s="802">
        <v>9500000</v>
      </c>
      <c r="M8" s="825">
        <v>13000000</v>
      </c>
      <c r="N8" s="825">
        <v>13500000</v>
      </c>
      <c r="O8" s="825">
        <v>15700000</v>
      </c>
      <c r="P8" s="863">
        <v>16500000</v>
      </c>
    </row>
    <row r="9" spans="1:16">
      <c r="A9" s="773"/>
      <c r="B9" s="772">
        <v>1334</v>
      </c>
      <c r="C9" s="785" t="s">
        <v>555</v>
      </c>
      <c r="D9" s="784"/>
      <c r="E9" s="784">
        <v>4000</v>
      </c>
      <c r="F9" s="784">
        <v>3689.68</v>
      </c>
      <c r="G9" s="784">
        <f t="shared" ref="G9:G20" si="2">E9-F9</f>
        <v>310.32000000000016</v>
      </c>
      <c r="H9" s="784">
        <f t="shared" si="0"/>
        <v>4000</v>
      </c>
      <c r="I9" s="802">
        <f t="shared" si="1"/>
        <v>4000</v>
      </c>
      <c r="J9" s="803"/>
      <c r="K9" s="802">
        <v>2013</v>
      </c>
      <c r="L9" s="802">
        <v>4000</v>
      </c>
      <c r="M9" s="825">
        <v>29000</v>
      </c>
      <c r="N9" s="825">
        <v>20000</v>
      </c>
      <c r="O9" s="825">
        <v>2000</v>
      </c>
      <c r="P9" s="863">
        <v>2000</v>
      </c>
    </row>
    <row r="10" spans="1:16">
      <c r="A10" s="773"/>
      <c r="B10" s="772">
        <v>1341</v>
      </c>
      <c r="C10" s="785" t="s">
        <v>556</v>
      </c>
      <c r="D10" s="784">
        <v>78000</v>
      </c>
      <c r="E10" s="784">
        <v>78000</v>
      </c>
      <c r="F10" s="784">
        <v>72700</v>
      </c>
      <c r="G10" s="784">
        <f t="shared" si="2"/>
        <v>5300</v>
      </c>
      <c r="H10" s="784">
        <f t="shared" si="0"/>
        <v>78000</v>
      </c>
      <c r="I10" s="802">
        <f t="shared" si="1"/>
        <v>78000</v>
      </c>
      <c r="J10" s="803">
        <v>4000</v>
      </c>
      <c r="K10" s="802">
        <v>85050</v>
      </c>
      <c r="L10" s="802">
        <v>86000</v>
      </c>
      <c r="M10" s="825">
        <v>91000</v>
      </c>
      <c r="N10" s="825">
        <v>91000</v>
      </c>
      <c r="O10" s="825">
        <v>85000</v>
      </c>
      <c r="P10" s="863">
        <v>85000</v>
      </c>
    </row>
    <row r="11" spans="1:16">
      <c r="A11" s="773"/>
      <c r="B11" s="772">
        <v>1342</v>
      </c>
      <c r="C11" s="785" t="s">
        <v>557</v>
      </c>
      <c r="D11" s="784">
        <v>2000</v>
      </c>
      <c r="E11" s="784">
        <v>3500</v>
      </c>
      <c r="F11" s="784">
        <v>3500</v>
      </c>
      <c r="G11" s="784">
        <f t="shared" si="2"/>
        <v>0</v>
      </c>
      <c r="H11" s="784">
        <f t="shared" si="0"/>
        <v>3500</v>
      </c>
      <c r="I11" s="802">
        <f t="shared" si="1"/>
        <v>3500</v>
      </c>
      <c r="J11" s="803">
        <v>3500</v>
      </c>
      <c r="K11" s="802">
        <v>7000</v>
      </c>
      <c r="L11" s="802">
        <v>7000</v>
      </c>
      <c r="M11" s="825">
        <v>0</v>
      </c>
      <c r="N11" s="825">
        <v>5000</v>
      </c>
      <c r="O11" s="825">
        <v>0</v>
      </c>
      <c r="P11" s="863">
        <v>5000</v>
      </c>
    </row>
    <row r="12" spans="1:16">
      <c r="A12" s="773"/>
      <c r="B12" s="772">
        <v>1343</v>
      </c>
      <c r="C12" s="785" t="s">
        <v>558</v>
      </c>
      <c r="D12" s="784">
        <v>40000</v>
      </c>
      <c r="E12" s="784">
        <v>40000</v>
      </c>
      <c r="F12" s="784">
        <v>18730</v>
      </c>
      <c r="G12" s="946">
        <f t="shared" si="2"/>
        <v>21270</v>
      </c>
      <c r="H12" s="784">
        <f t="shared" si="0"/>
        <v>40000</v>
      </c>
      <c r="I12" s="802">
        <f t="shared" si="1"/>
        <v>40000</v>
      </c>
      <c r="J12" s="803"/>
      <c r="K12" s="802">
        <v>37853</v>
      </c>
      <c r="L12" s="802">
        <v>40000</v>
      </c>
      <c r="M12" s="825">
        <v>45000</v>
      </c>
      <c r="N12" s="825">
        <v>45000</v>
      </c>
      <c r="O12" s="825">
        <v>35000</v>
      </c>
      <c r="P12" s="863">
        <v>30000</v>
      </c>
    </row>
    <row r="13" spans="1:16">
      <c r="A13" s="773"/>
      <c r="B13" s="772">
        <v>1345</v>
      </c>
      <c r="C13" s="785" t="s">
        <v>559</v>
      </c>
      <c r="D13" s="784"/>
      <c r="E13" s="784"/>
      <c r="F13" s="784"/>
      <c r="G13" s="946"/>
      <c r="H13" s="784"/>
      <c r="I13" s="802"/>
      <c r="J13" s="803"/>
      <c r="K13" s="802"/>
      <c r="L13" s="802"/>
      <c r="M13" s="825">
        <v>2170000</v>
      </c>
      <c r="N13" s="825">
        <v>2480000</v>
      </c>
      <c r="O13" s="825">
        <v>2600000</v>
      </c>
      <c r="P13" s="863">
        <v>2800000</v>
      </c>
    </row>
    <row r="14" spans="1:16">
      <c r="A14" s="773"/>
      <c r="B14" s="772">
        <v>1361</v>
      </c>
      <c r="C14" s="785" t="s">
        <v>560</v>
      </c>
      <c r="D14" s="784">
        <v>13000</v>
      </c>
      <c r="E14" s="784">
        <v>13000</v>
      </c>
      <c r="F14" s="784">
        <v>7797</v>
      </c>
      <c r="G14" s="784">
        <f t="shared" si="2"/>
        <v>5203</v>
      </c>
      <c r="H14" s="784">
        <f t="shared" si="0"/>
        <v>13000</v>
      </c>
      <c r="I14" s="802">
        <f t="shared" si="1"/>
        <v>13000</v>
      </c>
      <c r="J14" s="803"/>
      <c r="K14" s="802">
        <v>12340</v>
      </c>
      <c r="L14" s="802">
        <v>13000</v>
      </c>
      <c r="M14" s="825">
        <v>10000</v>
      </c>
      <c r="N14" s="825">
        <v>10000</v>
      </c>
      <c r="O14" s="825">
        <v>10000</v>
      </c>
      <c r="P14" s="863">
        <v>10000</v>
      </c>
    </row>
    <row r="15" spans="1:16">
      <c r="A15" s="773"/>
      <c r="B15" s="772">
        <v>1381</v>
      </c>
      <c r="C15" s="785" t="s">
        <v>561</v>
      </c>
      <c r="D15" s="784">
        <v>60000</v>
      </c>
      <c r="E15" s="784">
        <v>70000</v>
      </c>
      <c r="F15" s="784">
        <v>91684.6</v>
      </c>
      <c r="G15" s="946">
        <f>100000-F15</f>
        <v>8315.3999999999942</v>
      </c>
      <c r="H15" s="784">
        <f>G15+F15</f>
        <v>100000</v>
      </c>
      <c r="I15" s="802">
        <f t="shared" si="1"/>
        <v>100000</v>
      </c>
      <c r="J15" s="803"/>
      <c r="K15" s="802">
        <v>140881</v>
      </c>
      <c r="L15" s="802">
        <v>150000</v>
      </c>
      <c r="M15" s="825">
        <v>170000</v>
      </c>
      <c r="N15" s="825">
        <v>180000</v>
      </c>
      <c r="O15" s="825">
        <v>185000</v>
      </c>
      <c r="P15" s="863">
        <v>185000</v>
      </c>
    </row>
    <row r="16" spans="1:16">
      <c r="A16" s="773"/>
      <c r="B16" s="772">
        <v>1511</v>
      </c>
      <c r="C16" s="785" t="s">
        <v>562</v>
      </c>
      <c r="D16" s="784">
        <v>600000</v>
      </c>
      <c r="E16" s="784">
        <v>600000</v>
      </c>
      <c r="F16" s="784">
        <v>519740.61</v>
      </c>
      <c r="G16" s="784">
        <f t="shared" si="2"/>
        <v>80259.390000000014</v>
      </c>
      <c r="H16" s="784">
        <f t="shared" si="0"/>
        <v>600000</v>
      </c>
      <c r="I16" s="802">
        <f t="shared" si="1"/>
        <v>600000</v>
      </c>
      <c r="J16" s="803"/>
      <c r="K16" s="802">
        <v>532696</v>
      </c>
      <c r="L16" s="802">
        <v>600000</v>
      </c>
      <c r="M16" s="825">
        <v>550000</v>
      </c>
      <c r="N16" s="825">
        <v>550000</v>
      </c>
      <c r="O16" s="825">
        <v>550000</v>
      </c>
      <c r="P16" s="863">
        <v>990000</v>
      </c>
    </row>
    <row r="17" spans="1:16" ht="14" thickBot="1">
      <c r="A17" s="777" t="s">
        <v>563</v>
      </c>
      <c r="B17" s="778"/>
      <c r="C17" s="779"/>
      <c r="D17" s="782">
        <f t="shared" ref="D17:I17" si="3">SUM(D3:D16)</f>
        <v>16583000</v>
      </c>
      <c r="E17" s="782">
        <f t="shared" si="3"/>
        <v>16598500</v>
      </c>
      <c r="F17" s="782">
        <f t="shared" si="3"/>
        <v>11805065.42</v>
      </c>
      <c r="G17" s="782">
        <f t="shared" si="3"/>
        <v>7976086.8500000006</v>
      </c>
      <c r="H17" s="782">
        <f t="shared" si="3"/>
        <v>19781152.27</v>
      </c>
      <c r="I17" s="801">
        <f t="shared" si="3"/>
        <v>17432505.27</v>
      </c>
      <c r="J17" s="864"/>
      <c r="K17" s="801">
        <f t="shared" ref="K17:P17" si="4">SUM(K3:K16)</f>
        <v>17687682</v>
      </c>
      <c r="L17" s="801">
        <f t="shared" si="4"/>
        <v>18730000</v>
      </c>
      <c r="M17" s="865">
        <f t="shared" si="4"/>
        <v>26935007</v>
      </c>
      <c r="N17" s="865">
        <f t="shared" si="4"/>
        <v>27981000</v>
      </c>
      <c r="O17" s="865">
        <f t="shared" si="4"/>
        <v>32727000</v>
      </c>
      <c r="P17" s="889">
        <f t="shared" si="4"/>
        <v>35157000</v>
      </c>
    </row>
    <row r="18" spans="1:16" hidden="1">
      <c r="A18" s="942"/>
      <c r="B18" s="943">
        <v>4111</v>
      </c>
      <c r="C18" s="790" t="s">
        <v>564</v>
      </c>
      <c r="D18" s="944"/>
      <c r="E18" s="944">
        <v>2179750</v>
      </c>
      <c r="F18" s="944">
        <v>2148750</v>
      </c>
      <c r="G18" s="944">
        <f t="shared" si="2"/>
        <v>31000</v>
      </c>
      <c r="H18" s="944">
        <f t="shared" si="0"/>
        <v>2179750</v>
      </c>
      <c r="I18" s="945"/>
      <c r="J18" s="866"/>
      <c r="K18" s="945"/>
      <c r="L18" s="945"/>
      <c r="M18" s="855">
        <v>32000</v>
      </c>
      <c r="N18" s="855"/>
      <c r="O18" s="855"/>
      <c r="P18" s="856"/>
    </row>
    <row r="19" spans="1:16" hidden="1">
      <c r="A19" s="996"/>
      <c r="B19" s="997">
        <v>4111</v>
      </c>
      <c r="C19" s="998" t="s">
        <v>565</v>
      </c>
      <c r="D19" s="999"/>
      <c r="E19" s="999"/>
      <c r="F19" s="999"/>
      <c r="G19" s="999"/>
      <c r="H19" s="999"/>
      <c r="I19" s="1000"/>
      <c r="J19" s="1001">
        <v>56543.59</v>
      </c>
      <c r="K19" s="1000">
        <v>310545</v>
      </c>
      <c r="L19" s="1000"/>
      <c r="M19" s="992">
        <v>95000</v>
      </c>
      <c r="N19" s="992"/>
      <c r="O19" s="992"/>
      <c r="P19" s="993"/>
    </row>
    <row r="20" spans="1:16">
      <c r="A20" s="942"/>
      <c r="B20" s="943">
        <v>4112</v>
      </c>
      <c r="C20" s="790" t="s">
        <v>566</v>
      </c>
      <c r="D20" s="944">
        <v>342200</v>
      </c>
      <c r="E20" s="944">
        <v>368000</v>
      </c>
      <c r="F20" s="944">
        <v>245336</v>
      </c>
      <c r="G20" s="944">
        <f t="shared" si="2"/>
        <v>122664</v>
      </c>
      <c r="H20" s="944">
        <f t="shared" si="0"/>
        <v>368000</v>
      </c>
      <c r="I20" s="945">
        <f t="shared" si="1"/>
        <v>368000</v>
      </c>
      <c r="J20" s="1002">
        <v>27000</v>
      </c>
      <c r="K20" s="945">
        <v>296253</v>
      </c>
      <c r="L20" s="945">
        <v>368000</v>
      </c>
      <c r="M20" s="855">
        <v>368000</v>
      </c>
      <c r="N20" s="855">
        <v>368000</v>
      </c>
      <c r="O20" s="855">
        <v>368000</v>
      </c>
      <c r="P20" s="856">
        <v>368000</v>
      </c>
    </row>
    <row r="21" spans="1:16" hidden="1">
      <c r="A21" s="773"/>
      <c r="B21" s="772">
        <v>4222</v>
      </c>
      <c r="C21" s="949" t="s">
        <v>567</v>
      </c>
      <c r="D21" s="784"/>
      <c r="E21" s="784"/>
      <c r="F21" s="784"/>
      <c r="G21" s="950"/>
      <c r="H21" s="950"/>
      <c r="I21" s="820">
        <v>10000000</v>
      </c>
      <c r="J21" s="803"/>
      <c r="K21" s="802"/>
      <c r="L21" s="802"/>
      <c r="M21" s="825"/>
      <c r="N21" s="825"/>
      <c r="O21" s="825"/>
      <c r="P21" s="863"/>
    </row>
    <row r="22" spans="1:16">
      <c r="A22" s="1097" t="s">
        <v>569</v>
      </c>
      <c r="B22" s="1098"/>
      <c r="C22" s="1098"/>
      <c r="D22" s="792">
        <f t="shared" ref="D22:I22" si="5">SUM(D18:D21)</f>
        <v>342200</v>
      </c>
      <c r="E22" s="792">
        <f t="shared" si="5"/>
        <v>2547750</v>
      </c>
      <c r="F22" s="792">
        <f t="shared" si="5"/>
        <v>2394086</v>
      </c>
      <c r="G22" s="792">
        <f t="shared" si="5"/>
        <v>153664</v>
      </c>
      <c r="H22" s="792">
        <f t="shared" si="5"/>
        <v>2547750</v>
      </c>
      <c r="I22" s="792">
        <f t="shared" si="5"/>
        <v>10368000</v>
      </c>
      <c r="J22" s="803"/>
      <c r="K22" s="792">
        <f>SUM(K19:K21)</f>
        <v>606798</v>
      </c>
      <c r="L22" s="792">
        <f>SUM(L19:L21)</f>
        <v>368000</v>
      </c>
      <c r="M22" s="827">
        <f>SUM(M18:M21)</f>
        <v>495000</v>
      </c>
      <c r="N22" s="827">
        <f>SUM(N18:N21)</f>
        <v>368000</v>
      </c>
      <c r="O22" s="827">
        <f>SUM(O18:O21)</f>
        <v>368000</v>
      </c>
      <c r="P22" s="1003">
        <f>SUM(P18:P21)</f>
        <v>368000</v>
      </c>
    </row>
    <row r="23" spans="1:16" hidden="1">
      <c r="A23" s="773">
        <v>1036</v>
      </c>
      <c r="B23" s="772">
        <v>2111</v>
      </c>
      <c r="C23" s="885" t="s">
        <v>570</v>
      </c>
      <c r="D23" s="783"/>
      <c r="E23" s="783"/>
      <c r="F23" s="783"/>
      <c r="G23" s="783"/>
      <c r="H23" s="783"/>
      <c r="I23" s="783"/>
      <c r="J23" s="803"/>
      <c r="K23" s="783"/>
      <c r="L23" s="783"/>
      <c r="M23" s="884"/>
      <c r="N23" s="884"/>
      <c r="O23" s="825">
        <v>60000</v>
      </c>
      <c r="P23" s="863"/>
    </row>
    <row r="24" spans="1:16">
      <c r="A24" s="947">
        <v>2310</v>
      </c>
      <c r="B24" s="948">
        <v>2132</v>
      </c>
      <c r="C24" s="807" t="s">
        <v>571</v>
      </c>
      <c r="D24" s="902">
        <v>40000</v>
      </c>
      <c r="E24" s="902">
        <v>40000</v>
      </c>
      <c r="F24" s="902"/>
      <c r="G24" s="902">
        <f>E24-F24</f>
        <v>40000</v>
      </c>
      <c r="H24" s="902">
        <f t="shared" ref="H24:H39" si="6">G24+F24</f>
        <v>40000</v>
      </c>
      <c r="I24" s="903">
        <f>H24</f>
        <v>40000</v>
      </c>
      <c r="J24" s="860"/>
      <c r="K24" s="903"/>
      <c r="L24" s="903">
        <v>40000</v>
      </c>
      <c r="M24" s="853">
        <v>40000</v>
      </c>
      <c r="N24" s="853">
        <v>40000</v>
      </c>
      <c r="O24" s="853">
        <v>260000</v>
      </c>
      <c r="P24" s="883">
        <v>250000</v>
      </c>
    </row>
    <row r="25" spans="1:16">
      <c r="A25" s="773">
        <v>2329</v>
      </c>
      <c r="B25" s="772">
        <v>2111</v>
      </c>
      <c r="C25" s="785" t="s">
        <v>572</v>
      </c>
      <c r="D25" s="784">
        <v>4300000</v>
      </c>
      <c r="E25" s="784">
        <v>4300000</v>
      </c>
      <c r="F25" s="784">
        <v>3712414.18</v>
      </c>
      <c r="G25" s="784">
        <f>E25-F25</f>
        <v>587585.81999999983</v>
      </c>
      <c r="H25" s="784">
        <f t="shared" si="6"/>
        <v>4300000</v>
      </c>
      <c r="I25" s="802">
        <f>H25</f>
        <v>4300000</v>
      </c>
      <c r="J25" s="803"/>
      <c r="K25" s="802">
        <v>2205174</v>
      </c>
      <c r="L25" s="802">
        <v>4300000</v>
      </c>
      <c r="M25" s="825">
        <v>4400000</v>
      </c>
      <c r="N25" s="825">
        <v>4400000</v>
      </c>
      <c r="O25" s="825">
        <v>4400000</v>
      </c>
      <c r="P25" s="863">
        <v>5000000</v>
      </c>
    </row>
    <row r="26" spans="1:16">
      <c r="A26" s="773">
        <v>3111</v>
      </c>
      <c r="B26" s="772">
        <v>2111</v>
      </c>
      <c r="C26" s="785" t="s">
        <v>573</v>
      </c>
      <c r="D26" s="784"/>
      <c r="E26" s="784"/>
      <c r="F26" s="784"/>
      <c r="G26" s="784"/>
      <c r="H26" s="784"/>
      <c r="I26" s="802"/>
      <c r="J26" s="803"/>
      <c r="K26" s="802">
        <v>11437</v>
      </c>
      <c r="L26" s="802">
        <v>30000</v>
      </c>
      <c r="M26" s="825">
        <v>40000</v>
      </c>
      <c r="N26" s="825">
        <v>40000</v>
      </c>
      <c r="O26" s="825">
        <v>40000</v>
      </c>
      <c r="P26" s="863">
        <v>40000</v>
      </c>
    </row>
    <row r="27" spans="1:16">
      <c r="A27" s="773">
        <v>3613</v>
      </c>
      <c r="B27" s="772">
        <v>2132</v>
      </c>
      <c r="C27" s="785" t="s">
        <v>574</v>
      </c>
      <c r="D27" s="784">
        <v>10000</v>
      </c>
      <c r="E27" s="784">
        <v>10000</v>
      </c>
      <c r="F27" s="784">
        <v>2000</v>
      </c>
      <c r="G27" s="784">
        <f>E27-F27</f>
        <v>8000</v>
      </c>
      <c r="H27" s="784">
        <f>G27+F27</f>
        <v>10000</v>
      </c>
      <c r="I27" s="802">
        <f t="shared" ref="I27:I39" si="7">H27</f>
        <v>10000</v>
      </c>
      <c r="J27" s="803"/>
      <c r="K27" s="802">
        <v>10000</v>
      </c>
      <c r="L27" s="802">
        <v>10000</v>
      </c>
      <c r="M27" s="825">
        <v>20000</v>
      </c>
      <c r="N27" s="825">
        <v>20000</v>
      </c>
      <c r="O27" s="825">
        <v>21000</v>
      </c>
      <c r="P27" s="863">
        <v>20000</v>
      </c>
    </row>
    <row r="28" spans="1:16" hidden="1">
      <c r="A28" s="773">
        <v>3631</v>
      </c>
      <c r="B28" s="772">
        <v>2111</v>
      </c>
      <c r="C28" s="785" t="s">
        <v>575</v>
      </c>
      <c r="D28" s="784"/>
      <c r="E28" s="784">
        <v>20000</v>
      </c>
      <c r="F28" s="784">
        <v>34000</v>
      </c>
      <c r="G28" s="784">
        <v>0</v>
      </c>
      <c r="H28" s="784">
        <f>G28+F28</f>
        <v>34000</v>
      </c>
      <c r="I28" s="802">
        <f t="shared" si="7"/>
        <v>34000</v>
      </c>
      <c r="J28" s="803">
        <v>155000</v>
      </c>
      <c r="K28" s="802">
        <v>198000</v>
      </c>
      <c r="L28" s="802"/>
      <c r="M28" s="825">
        <v>10000</v>
      </c>
      <c r="N28" s="825"/>
      <c r="O28" s="825"/>
      <c r="P28" s="863"/>
    </row>
    <row r="29" spans="1:16" hidden="1">
      <c r="A29" s="773">
        <v>3639</v>
      </c>
      <c r="B29" s="772">
        <v>2119</v>
      </c>
      <c r="C29" s="785" t="s">
        <v>576</v>
      </c>
      <c r="D29" s="784"/>
      <c r="E29" s="784"/>
      <c r="F29" s="784"/>
      <c r="G29" s="784"/>
      <c r="H29" s="784"/>
      <c r="I29" s="802"/>
      <c r="J29" s="803"/>
      <c r="K29" s="802"/>
      <c r="L29" s="802"/>
      <c r="M29" s="825"/>
      <c r="N29" s="825"/>
      <c r="O29" s="825">
        <v>27000</v>
      </c>
      <c r="P29" s="863"/>
    </row>
    <row r="30" spans="1:16" hidden="1">
      <c r="A30" s="773">
        <v>3639</v>
      </c>
      <c r="B30" s="772">
        <v>2131</v>
      </c>
      <c r="C30" s="785" t="s">
        <v>577</v>
      </c>
      <c r="D30" s="784"/>
      <c r="E30" s="784">
        <v>218000</v>
      </c>
      <c r="F30" s="784">
        <v>217922</v>
      </c>
      <c r="G30" s="784">
        <f>E30-F30</f>
        <v>78</v>
      </c>
      <c r="H30" s="784">
        <f t="shared" si="6"/>
        <v>218000</v>
      </c>
      <c r="I30" s="802">
        <f t="shared" si="7"/>
        <v>218000</v>
      </c>
      <c r="J30" s="803"/>
      <c r="K30" s="802"/>
      <c r="L30" s="802"/>
      <c r="M30" s="825">
        <v>15000</v>
      </c>
      <c r="N30" s="825"/>
      <c r="O30" s="825">
        <v>9000</v>
      </c>
      <c r="P30" s="863"/>
    </row>
    <row r="31" spans="1:16">
      <c r="A31" s="892">
        <v>3639</v>
      </c>
      <c r="B31" s="893">
        <v>3111</v>
      </c>
      <c r="C31" s="894" t="s">
        <v>578</v>
      </c>
      <c r="D31" s="895"/>
      <c r="E31" s="895"/>
      <c r="F31" s="895"/>
      <c r="G31" s="895"/>
      <c r="H31" s="895"/>
      <c r="I31" s="896"/>
      <c r="J31" s="897"/>
      <c r="K31" s="896"/>
      <c r="L31" s="896"/>
      <c r="M31" s="898"/>
      <c r="N31" s="898"/>
      <c r="O31" s="898"/>
      <c r="P31" s="899">
        <v>24000000</v>
      </c>
    </row>
    <row r="32" spans="1:16">
      <c r="A32" s="773">
        <v>3725</v>
      </c>
      <c r="B32" s="772">
        <v>2111</v>
      </c>
      <c r="C32" s="785" t="s">
        <v>580</v>
      </c>
      <c r="D32" s="784">
        <v>320000</v>
      </c>
      <c r="E32" s="784">
        <v>320000</v>
      </c>
      <c r="F32" s="784">
        <v>233974</v>
      </c>
      <c r="G32" s="784">
        <f>E32-F32</f>
        <v>86026</v>
      </c>
      <c r="H32" s="784">
        <f t="shared" si="6"/>
        <v>320000</v>
      </c>
      <c r="I32" s="802">
        <f t="shared" si="7"/>
        <v>320000</v>
      </c>
      <c r="J32" s="803"/>
      <c r="K32" s="802">
        <v>266159</v>
      </c>
      <c r="L32" s="802">
        <v>320000</v>
      </c>
      <c r="M32" s="825">
        <v>320000</v>
      </c>
      <c r="N32" s="825">
        <v>400000</v>
      </c>
      <c r="O32" s="825">
        <v>400000</v>
      </c>
      <c r="P32" s="863">
        <v>450000</v>
      </c>
    </row>
    <row r="33" spans="1:19">
      <c r="A33" s="773">
        <v>3726</v>
      </c>
      <c r="B33" s="772">
        <v>2111</v>
      </c>
      <c r="C33" s="785" t="s">
        <v>581</v>
      </c>
      <c r="D33" s="784">
        <v>260000</v>
      </c>
      <c r="E33" s="784">
        <v>320000</v>
      </c>
      <c r="F33" s="784">
        <v>322156</v>
      </c>
      <c r="G33" s="784">
        <v>0</v>
      </c>
      <c r="H33" s="784">
        <f t="shared" si="6"/>
        <v>322156</v>
      </c>
      <c r="I33" s="802">
        <v>400000</v>
      </c>
      <c r="J33" s="803">
        <v>5000</v>
      </c>
      <c r="K33" s="802">
        <v>421161</v>
      </c>
      <c r="L33" s="802">
        <v>430000</v>
      </c>
      <c r="M33" s="825">
        <v>470000</v>
      </c>
      <c r="N33" s="825">
        <v>480000</v>
      </c>
      <c r="O33" s="825">
        <v>490000</v>
      </c>
      <c r="P33" s="863">
        <v>530000</v>
      </c>
    </row>
    <row r="34" spans="1:19">
      <c r="A34" s="773">
        <v>6171</v>
      </c>
      <c r="B34" s="772">
        <v>2111</v>
      </c>
      <c r="C34" s="785" t="s">
        <v>582</v>
      </c>
      <c r="D34" s="784">
        <v>1000</v>
      </c>
      <c r="E34" s="784">
        <v>4500</v>
      </c>
      <c r="F34" s="784">
        <v>14412</v>
      </c>
      <c r="G34" s="784">
        <v>0</v>
      </c>
      <c r="H34" s="784">
        <f t="shared" si="6"/>
        <v>14412</v>
      </c>
      <c r="I34" s="802">
        <f t="shared" si="7"/>
        <v>14412</v>
      </c>
      <c r="J34" s="803"/>
      <c r="K34" s="802">
        <v>3034</v>
      </c>
      <c r="L34" s="802">
        <v>5000</v>
      </c>
      <c r="M34" s="825">
        <v>6000</v>
      </c>
      <c r="N34" s="825">
        <v>5000</v>
      </c>
      <c r="O34" s="825">
        <v>2000</v>
      </c>
      <c r="P34" s="863">
        <v>5000</v>
      </c>
    </row>
    <row r="35" spans="1:19">
      <c r="A35" s="773">
        <v>6171</v>
      </c>
      <c r="B35" s="772">
        <v>2112</v>
      </c>
      <c r="C35" s="785" t="s">
        <v>583</v>
      </c>
      <c r="D35" s="784">
        <v>5000</v>
      </c>
      <c r="E35" s="784">
        <v>5000</v>
      </c>
      <c r="F35" s="784">
        <v>3850</v>
      </c>
      <c r="G35" s="784">
        <f>E35-F35</f>
        <v>1150</v>
      </c>
      <c r="H35" s="784">
        <f t="shared" si="6"/>
        <v>5000</v>
      </c>
      <c r="I35" s="802">
        <f t="shared" si="7"/>
        <v>5000</v>
      </c>
      <c r="J35" s="803"/>
      <c r="K35" s="802">
        <v>3862</v>
      </c>
      <c r="L35" s="802">
        <v>5000</v>
      </c>
      <c r="M35" s="825">
        <v>39000</v>
      </c>
      <c r="N35" s="825">
        <v>5000</v>
      </c>
      <c r="O35" s="825">
        <v>2000</v>
      </c>
      <c r="P35" s="863">
        <v>2000</v>
      </c>
    </row>
    <row r="36" spans="1:19">
      <c r="A36" s="773">
        <v>6171</v>
      </c>
      <c r="B36" s="772">
        <v>2132</v>
      </c>
      <c r="C36" s="785" t="s">
        <v>584</v>
      </c>
      <c r="D36" s="784">
        <v>2000</v>
      </c>
      <c r="E36" s="784">
        <v>2000</v>
      </c>
      <c r="F36" s="784"/>
      <c r="G36" s="784">
        <f>E36-F36</f>
        <v>2000</v>
      </c>
      <c r="H36" s="784">
        <f>G36+F36</f>
        <v>2000</v>
      </c>
      <c r="I36" s="802">
        <f t="shared" si="7"/>
        <v>2000</v>
      </c>
      <c r="J36" s="803"/>
      <c r="K36" s="802">
        <v>1212</v>
      </c>
      <c r="L36" s="802">
        <v>2000</v>
      </c>
      <c r="M36" s="825"/>
      <c r="N36" s="825"/>
      <c r="O36" s="825"/>
      <c r="P36" s="863"/>
    </row>
    <row r="37" spans="1:19">
      <c r="A37" s="773">
        <v>6171</v>
      </c>
      <c r="B37" s="772">
        <v>2212</v>
      </c>
      <c r="C37" s="785" t="s">
        <v>585</v>
      </c>
      <c r="D37" s="784"/>
      <c r="E37" s="784">
        <v>500</v>
      </c>
      <c r="F37" s="784">
        <v>1500</v>
      </c>
      <c r="G37" s="784">
        <v>0</v>
      </c>
      <c r="H37" s="784">
        <f t="shared" si="6"/>
        <v>1500</v>
      </c>
      <c r="I37" s="802">
        <f t="shared" si="7"/>
        <v>1500</v>
      </c>
      <c r="J37" s="803"/>
      <c r="K37" s="802">
        <v>5000</v>
      </c>
      <c r="L37" s="802">
        <v>1500</v>
      </c>
      <c r="M37" s="825"/>
      <c r="N37" s="825">
        <v>2000</v>
      </c>
      <c r="O37" s="825">
        <v>1000</v>
      </c>
      <c r="P37" s="863">
        <v>10000</v>
      </c>
    </row>
    <row r="38" spans="1:19">
      <c r="A38" s="892">
        <v>6171</v>
      </c>
      <c r="B38" s="893">
        <v>3113</v>
      </c>
      <c r="C38" s="894" t="s">
        <v>586</v>
      </c>
      <c r="D38" s="895"/>
      <c r="E38" s="895"/>
      <c r="F38" s="895"/>
      <c r="G38" s="895"/>
      <c r="H38" s="895"/>
      <c r="I38" s="896"/>
      <c r="J38" s="897"/>
      <c r="K38" s="896"/>
      <c r="L38" s="896"/>
      <c r="M38" s="898"/>
      <c r="N38" s="898"/>
      <c r="O38" s="898"/>
      <c r="P38" s="899"/>
    </row>
    <row r="39" spans="1:19">
      <c r="A39" s="773">
        <v>6310</v>
      </c>
      <c r="B39" s="772">
        <v>2141</v>
      </c>
      <c r="C39" s="785" t="s">
        <v>587</v>
      </c>
      <c r="D39" s="784">
        <v>500</v>
      </c>
      <c r="E39" s="784">
        <v>500</v>
      </c>
      <c r="F39" s="784"/>
      <c r="G39" s="784">
        <f>E39-F39</f>
        <v>500</v>
      </c>
      <c r="H39" s="784">
        <f t="shared" si="6"/>
        <v>500</v>
      </c>
      <c r="I39" s="802">
        <f t="shared" si="7"/>
        <v>500</v>
      </c>
      <c r="J39" s="803"/>
      <c r="K39" s="802"/>
      <c r="L39" s="802">
        <v>500</v>
      </c>
      <c r="M39" s="825">
        <v>930000</v>
      </c>
      <c r="N39" s="825">
        <v>1872000</v>
      </c>
      <c r="O39" s="825">
        <v>2300000</v>
      </c>
      <c r="P39" s="863">
        <v>1500000</v>
      </c>
    </row>
    <row r="40" spans="1:19">
      <c r="A40" s="1099" t="s">
        <v>588</v>
      </c>
      <c r="B40" s="1100"/>
      <c r="C40" s="1101"/>
      <c r="D40" s="849">
        <f t="shared" ref="D40:I40" si="8">SUM(D24:D39)</f>
        <v>4938500</v>
      </c>
      <c r="E40" s="849">
        <f t="shared" si="8"/>
        <v>5240500</v>
      </c>
      <c r="F40" s="951">
        <f t="shared" si="8"/>
        <v>4542228.18</v>
      </c>
      <c r="G40" s="951">
        <f t="shared" si="8"/>
        <v>725339.81999999983</v>
      </c>
      <c r="H40" s="951">
        <f t="shared" si="8"/>
        <v>5267568</v>
      </c>
      <c r="I40" s="850">
        <f t="shared" si="8"/>
        <v>5345412</v>
      </c>
      <c r="J40" s="851"/>
      <c r="K40" s="850">
        <f t="shared" ref="K40:N40" si="9">SUM(K24:K39)</f>
        <v>3125039</v>
      </c>
      <c r="L40" s="850">
        <f t="shared" si="9"/>
        <v>5144000</v>
      </c>
      <c r="M40" s="852">
        <f t="shared" si="9"/>
        <v>6290000</v>
      </c>
      <c r="N40" s="852">
        <f t="shared" si="9"/>
        <v>7264000</v>
      </c>
      <c r="O40" s="852">
        <f>SUM(O23:O39)</f>
        <v>8012000</v>
      </c>
      <c r="P40" s="888">
        <f>SUM(P23:P39)-P31-P38</f>
        <v>7807000</v>
      </c>
    </row>
    <row r="41" spans="1:19" ht="14" thickBot="1">
      <c r="A41" s="1102" t="s">
        <v>589</v>
      </c>
      <c r="B41" s="1103"/>
      <c r="C41" s="1104"/>
      <c r="D41" s="782" t="e">
        <f>#REF!</f>
        <v>#REF!</v>
      </c>
      <c r="E41" s="782" t="e">
        <f>#REF!</f>
        <v>#REF!</v>
      </c>
      <c r="F41" s="782" t="e">
        <f>#REF!</f>
        <v>#REF!</v>
      </c>
      <c r="G41" s="782" t="e">
        <f>#REF!</f>
        <v>#REF!</v>
      </c>
      <c r="H41" s="782" t="e">
        <f>G41+F41</f>
        <v>#REF!</v>
      </c>
      <c r="I41" s="791" t="e">
        <f>#REF!</f>
        <v>#REF!</v>
      </c>
      <c r="J41" s="857"/>
      <c r="K41" s="791"/>
      <c r="L41" s="822"/>
      <c r="M41" s="858"/>
      <c r="N41" s="858">
        <f>N31+N38</f>
        <v>0</v>
      </c>
      <c r="O41" s="858">
        <f>O31+O38</f>
        <v>0</v>
      </c>
      <c r="P41" s="859">
        <f>P31+P38</f>
        <v>24000000</v>
      </c>
    </row>
    <row r="42" spans="1:19" ht="14" thickBot="1">
      <c r="A42" s="1105" t="s">
        <v>590</v>
      </c>
      <c r="B42" s="1106"/>
      <c r="C42" s="1107"/>
      <c r="D42" s="793" t="e">
        <f t="shared" ref="D42:I42" si="10">D17+D22+D40+D41</f>
        <v>#REF!</v>
      </c>
      <c r="E42" s="793" t="e">
        <f t="shared" si="10"/>
        <v>#REF!</v>
      </c>
      <c r="F42" s="793" t="e">
        <f t="shared" si="10"/>
        <v>#REF!</v>
      </c>
      <c r="G42" s="793" t="e">
        <f t="shared" si="10"/>
        <v>#REF!</v>
      </c>
      <c r="H42" s="793" t="e">
        <f t="shared" si="10"/>
        <v>#REF!</v>
      </c>
      <c r="I42" s="794" t="e">
        <f t="shared" si="10"/>
        <v>#REF!</v>
      </c>
      <c r="J42" s="814"/>
      <c r="K42" s="794">
        <f>K17+K22+K40</f>
        <v>21419519</v>
      </c>
      <c r="L42" s="823">
        <f>L17+L22+L40</f>
        <v>24242000</v>
      </c>
      <c r="M42" s="865">
        <f>M17+M22+M40+M41</f>
        <v>33720007</v>
      </c>
      <c r="N42" s="865">
        <f>N17+N22+N40+N41</f>
        <v>35613000</v>
      </c>
      <c r="O42" s="858">
        <f>O17+O22+O40+O41</f>
        <v>41107000</v>
      </c>
      <c r="P42" s="859">
        <f>P17+P22+P40+P41</f>
        <v>67332000</v>
      </c>
      <c r="S42" s="3"/>
    </row>
    <row r="43" spans="1:19" ht="14" thickBot="1">
      <c r="A43" s="952"/>
      <c r="B43" s="952"/>
      <c r="C43" s="788"/>
      <c r="D43" s="787"/>
      <c r="E43" s="787"/>
      <c r="F43" s="787"/>
      <c r="G43" s="953"/>
      <c r="H43" s="954"/>
      <c r="I43" s="954"/>
      <c r="J43" s="795"/>
      <c r="K43" s="954"/>
      <c r="L43" s="954"/>
      <c r="M43" s="826"/>
      <c r="N43" s="826"/>
      <c r="O43" s="826"/>
      <c r="P43" s="826"/>
    </row>
    <row r="44" spans="1:19" ht="18.75" customHeight="1">
      <c r="A44" s="867"/>
      <c r="B44" s="955">
        <v>8123</v>
      </c>
      <c r="C44" s="868" t="s">
        <v>591</v>
      </c>
      <c r="D44" s="869"/>
      <c r="E44" s="869"/>
      <c r="F44" s="869"/>
      <c r="G44" s="869"/>
      <c r="H44" s="869"/>
      <c r="I44" s="869"/>
      <c r="J44" s="854" t="s">
        <v>592</v>
      </c>
      <c r="K44" s="869"/>
      <c r="L44" s="870"/>
      <c r="M44" s="871"/>
      <c r="N44" s="871"/>
      <c r="O44" s="855"/>
      <c r="P44" s="856"/>
    </row>
    <row r="45" spans="1:19" ht="14" thickBot="1">
      <c r="A45" s="872">
        <v>8115</v>
      </c>
      <c r="B45" s="873">
        <v>8115</v>
      </c>
      <c r="C45" s="874" t="s">
        <v>593</v>
      </c>
      <c r="D45" s="875">
        <f>11600200+10650000+200000+850000</f>
        <v>23300200</v>
      </c>
      <c r="E45" s="875">
        <v>25571150</v>
      </c>
      <c r="F45" s="875">
        <f>16406358.89+45150</f>
        <v>16451508.890000001</v>
      </c>
      <c r="G45" s="875" t="e">
        <f>-(G42-G188)</f>
        <v>#REF!</v>
      </c>
      <c r="H45" s="875" t="e">
        <f>-(H42-H188)</f>
        <v>#REF!</v>
      </c>
      <c r="I45" s="875" t="e">
        <f>-(I42-I188)</f>
        <v>#REF!</v>
      </c>
      <c r="J45" s="864">
        <v>-51105.41</v>
      </c>
      <c r="K45" s="875"/>
      <c r="L45" s="875">
        <v>11233929</v>
      </c>
      <c r="M45" s="876">
        <f>M188-M42</f>
        <v>-12518900</v>
      </c>
      <c r="N45" s="876">
        <f>N188-N42</f>
        <v>1576100</v>
      </c>
      <c r="O45" s="876">
        <v>-6856105</v>
      </c>
      <c r="P45" s="877">
        <f>33991000+1210000</f>
        <v>35201000</v>
      </c>
    </row>
    <row r="46" spans="1:19" ht="14" thickBot="1">
      <c r="A46" s="1108" t="s">
        <v>594</v>
      </c>
      <c r="B46" s="1109"/>
      <c r="C46" s="1110"/>
      <c r="D46" s="793" t="e">
        <f t="shared" ref="D46:I46" si="11">SUM(D42:D45)</f>
        <v>#REF!</v>
      </c>
      <c r="E46" s="793" t="e">
        <f t="shared" si="11"/>
        <v>#REF!</v>
      </c>
      <c r="F46" s="793" t="e">
        <f t="shared" si="11"/>
        <v>#REF!</v>
      </c>
      <c r="G46" s="793" t="e">
        <f t="shared" si="11"/>
        <v>#REF!</v>
      </c>
      <c r="H46" s="793" t="e">
        <f t="shared" si="11"/>
        <v>#REF!</v>
      </c>
      <c r="I46" s="794" t="e">
        <f t="shared" si="11"/>
        <v>#REF!</v>
      </c>
      <c r="J46" s="815"/>
      <c r="K46" s="794">
        <f>SUM(K42:K45)</f>
        <v>21419519</v>
      </c>
      <c r="L46" s="823">
        <f>SUM(L42:L45)</f>
        <v>35475929</v>
      </c>
      <c r="M46" s="878">
        <f>SUM(M42:M45)</f>
        <v>21201107</v>
      </c>
      <c r="N46" s="878">
        <f>SUM(N42:N45)</f>
        <v>37189100</v>
      </c>
      <c r="O46" s="887">
        <f>O42+O44+O45</f>
        <v>34250895</v>
      </c>
      <c r="P46" s="995">
        <f>P42+P44+P45</f>
        <v>102533000</v>
      </c>
    </row>
    <row r="47" spans="1:19">
      <c r="A47" s="487"/>
      <c r="B47" s="487"/>
      <c r="C47" s="487"/>
      <c r="D47" s="789"/>
      <c r="E47" s="789"/>
      <c r="F47" s="789"/>
      <c r="G47" s="789"/>
      <c r="H47" s="789"/>
      <c r="I47" s="789"/>
      <c r="J47" s="900"/>
      <c r="K47" s="789"/>
      <c r="L47" s="789"/>
      <c r="M47" s="831"/>
      <c r="N47" s="831"/>
      <c r="O47" s="826"/>
      <c r="P47" s="826"/>
    </row>
    <row r="48" spans="1:19">
      <c r="A48" s="487"/>
      <c r="B48" s="487"/>
      <c r="C48" s="487"/>
      <c r="D48" s="789"/>
      <c r="E48" s="789"/>
      <c r="F48" s="789"/>
      <c r="G48" s="789"/>
      <c r="H48" s="789"/>
      <c r="I48" s="789"/>
      <c r="J48" s="900"/>
      <c r="K48" s="789"/>
      <c r="L48" s="789"/>
      <c r="M48" s="831"/>
      <c r="N48" s="831"/>
      <c r="O48" s="826"/>
      <c r="P48" s="826"/>
    </row>
    <row r="49" spans="1:16">
      <c r="A49" s="487"/>
      <c r="B49" s="487"/>
      <c r="C49" s="487"/>
      <c r="D49" s="789"/>
      <c r="E49" s="789"/>
      <c r="F49" s="789"/>
      <c r="G49" s="789"/>
      <c r="H49" s="789"/>
      <c r="I49" s="789"/>
      <c r="J49" s="900"/>
      <c r="K49" s="789"/>
      <c r="L49" s="789"/>
      <c r="M49" s="831"/>
      <c r="N49" s="831"/>
      <c r="O49" s="826"/>
      <c r="P49" s="826"/>
    </row>
    <row r="50" spans="1:16">
      <c r="A50" s="487"/>
      <c r="B50" s="487"/>
      <c r="C50" s="487"/>
      <c r="D50" s="789"/>
      <c r="E50" s="789"/>
      <c r="F50" s="789"/>
      <c r="G50" s="789"/>
      <c r="H50" s="789"/>
      <c r="I50" s="789"/>
      <c r="J50" s="900"/>
      <c r="K50" s="789"/>
      <c r="L50" s="789"/>
      <c r="M50" s="831"/>
      <c r="N50" s="831"/>
      <c r="O50" s="826"/>
      <c r="P50" s="826"/>
    </row>
    <row r="51" spans="1:16">
      <c r="A51" s="487"/>
      <c r="B51" s="487"/>
      <c r="C51" s="487"/>
      <c r="D51" s="789"/>
      <c r="E51" s="789"/>
      <c r="F51" s="789"/>
      <c r="G51" s="789"/>
      <c r="H51" s="789"/>
      <c r="I51" s="789"/>
      <c r="J51" s="900"/>
      <c r="K51" s="789"/>
      <c r="L51" s="789"/>
      <c r="M51" s="831"/>
      <c r="N51" s="831"/>
      <c r="O51" s="826"/>
      <c r="P51" s="826"/>
    </row>
    <row r="52" spans="1:16">
      <c r="A52" s="487"/>
      <c r="B52" s="487"/>
      <c r="C52" s="487"/>
      <c r="D52" s="789"/>
      <c r="E52" s="789"/>
      <c r="F52" s="789"/>
      <c r="G52" s="789"/>
      <c r="H52" s="789"/>
      <c r="I52" s="789"/>
      <c r="J52" s="900"/>
      <c r="K52" s="789"/>
      <c r="L52" s="789"/>
      <c r="M52" s="831"/>
      <c r="N52" s="831"/>
      <c r="O52" s="826"/>
      <c r="P52" s="826"/>
    </row>
    <row r="53" spans="1:16">
      <c r="A53" s="487"/>
      <c r="B53" s="487"/>
      <c r="C53" s="487"/>
      <c r="D53" s="789"/>
      <c r="E53" s="789"/>
      <c r="F53" s="789"/>
      <c r="G53" s="789"/>
      <c r="H53" s="789"/>
      <c r="I53" s="789"/>
      <c r="J53" s="900"/>
      <c r="K53" s="789"/>
      <c r="L53" s="789"/>
      <c r="M53" s="831"/>
      <c r="N53" s="831"/>
      <c r="O53" s="826"/>
      <c r="P53" s="826"/>
    </row>
    <row r="54" spans="1:16">
      <c r="A54" s="487"/>
      <c r="B54" s="487"/>
      <c r="C54" s="487"/>
      <c r="D54" s="789"/>
      <c r="E54" s="789"/>
      <c r="F54" s="789"/>
      <c r="G54" s="789"/>
      <c r="H54" s="789"/>
      <c r="I54" s="789"/>
      <c r="J54" s="900"/>
      <c r="K54" s="789"/>
      <c r="L54" s="789"/>
      <c r="M54" s="831"/>
      <c r="N54" s="831"/>
      <c r="O54" s="826"/>
      <c r="P54" s="826"/>
    </row>
    <row r="55" spans="1:16">
      <c r="A55" s="487"/>
      <c r="B55" s="487"/>
      <c r="C55" s="487"/>
      <c r="D55" s="789"/>
      <c r="E55" s="789"/>
      <c r="F55" s="789"/>
      <c r="G55" s="789"/>
      <c r="H55" s="789"/>
      <c r="I55" s="789"/>
      <c r="J55" s="900"/>
      <c r="K55" s="789"/>
      <c r="L55" s="789"/>
      <c r="M55" s="831"/>
      <c r="N55" s="831"/>
      <c r="O55" s="826"/>
      <c r="P55" s="826"/>
    </row>
    <row r="56" spans="1:16">
      <c r="A56" s="487"/>
      <c r="B56" s="487"/>
      <c r="C56" s="487"/>
      <c r="D56" s="789"/>
      <c r="E56" s="789"/>
      <c r="F56" s="789"/>
      <c r="G56" s="789"/>
      <c r="H56" s="789"/>
      <c r="I56" s="789"/>
      <c r="J56" s="900"/>
      <c r="K56" s="789"/>
      <c r="L56" s="789"/>
      <c r="M56" s="831"/>
      <c r="N56" s="831"/>
      <c r="O56" s="826"/>
      <c r="P56" s="826"/>
    </row>
    <row r="57" spans="1:16">
      <c r="A57" s="487"/>
      <c r="B57" s="487"/>
      <c r="C57" s="487"/>
      <c r="D57" s="789"/>
      <c r="E57" s="789"/>
      <c r="F57" s="789"/>
      <c r="G57" s="789"/>
      <c r="H57" s="789"/>
      <c r="I57" s="789"/>
      <c r="J57" s="900"/>
      <c r="K57" s="789"/>
      <c r="L57" s="789"/>
      <c r="M57" s="831"/>
      <c r="N57" s="831"/>
      <c r="O57" s="826"/>
      <c r="P57" s="826"/>
    </row>
    <row r="58" spans="1:16">
      <c r="A58" s="487"/>
      <c r="B58" s="487"/>
      <c r="C58" s="487"/>
      <c r="D58" s="789"/>
      <c r="E58" s="789"/>
      <c r="F58" s="789"/>
      <c r="G58" s="789"/>
      <c r="H58" s="789"/>
      <c r="I58" s="789"/>
      <c r="J58" s="900"/>
      <c r="K58" s="789"/>
      <c r="L58" s="789"/>
      <c r="M58" s="831"/>
      <c r="N58" s="831"/>
      <c r="O58" s="826"/>
      <c r="P58" s="826"/>
    </row>
    <row r="59" spans="1:16">
      <c r="A59" s="487"/>
      <c r="B59" s="487"/>
      <c r="C59" s="487"/>
      <c r="D59" s="789"/>
      <c r="E59" s="789"/>
      <c r="F59" s="789"/>
      <c r="G59" s="789"/>
      <c r="H59" s="789"/>
      <c r="I59" s="789"/>
      <c r="J59" s="900"/>
      <c r="K59" s="789"/>
      <c r="L59" s="789"/>
      <c r="M59" s="831"/>
      <c r="N59" s="831"/>
      <c r="O59" s="826"/>
      <c r="P59" s="826"/>
    </row>
    <row r="60" spans="1:16">
      <c r="A60" s="487"/>
      <c r="B60" s="487"/>
      <c r="C60" s="487"/>
      <c r="D60" s="789"/>
      <c r="E60" s="789"/>
      <c r="F60" s="789"/>
      <c r="G60" s="789"/>
      <c r="H60" s="789"/>
      <c r="I60" s="789"/>
      <c r="J60" s="900"/>
      <c r="K60" s="789"/>
      <c r="L60" s="789"/>
      <c r="M60" s="831"/>
      <c r="N60" s="831"/>
      <c r="O60" s="826"/>
      <c r="P60" s="826"/>
    </row>
    <row r="61" spans="1:16">
      <c r="A61" s="487"/>
      <c r="B61" s="487"/>
      <c r="C61" s="487"/>
      <c r="D61" s="789"/>
      <c r="E61" s="789"/>
      <c r="F61" s="789"/>
      <c r="G61" s="789"/>
      <c r="H61" s="789"/>
      <c r="I61" s="789"/>
      <c r="J61" s="900"/>
      <c r="K61" s="789"/>
      <c r="L61" s="789"/>
      <c r="M61" s="831"/>
      <c r="N61" s="831"/>
      <c r="O61" s="826"/>
      <c r="P61" s="826"/>
    </row>
    <row r="62" spans="1:16">
      <c r="A62" s="487"/>
      <c r="B62" s="487"/>
      <c r="C62" s="487"/>
      <c r="D62" s="789"/>
      <c r="E62" s="789"/>
      <c r="F62" s="789"/>
      <c r="G62" s="789"/>
      <c r="H62" s="789"/>
      <c r="I62" s="789"/>
      <c r="J62" s="900"/>
      <c r="K62" s="789"/>
      <c r="L62" s="789"/>
      <c r="M62" s="831"/>
      <c r="N62" s="831"/>
      <c r="O62" s="826"/>
      <c r="P62" s="826"/>
    </row>
    <row r="63" spans="1:16">
      <c r="A63" s="771"/>
      <c r="B63" s="771"/>
      <c r="C63" s="786"/>
      <c r="D63" s="787"/>
      <c r="E63" s="787"/>
      <c r="F63" s="787"/>
      <c r="G63" s="787"/>
      <c r="H63" s="787"/>
      <c r="I63" s="787"/>
      <c r="J63" s="795"/>
      <c r="K63" s="787"/>
      <c r="L63" s="787"/>
      <c r="M63" s="826"/>
      <c r="N63" s="826"/>
      <c r="O63" s="826"/>
      <c r="P63" s="826"/>
    </row>
    <row r="64" spans="1:16" ht="17" thickBot="1">
      <c r="A64" s="808" t="s">
        <v>1226</v>
      </c>
      <c r="B64" s="952"/>
      <c r="C64" s="953"/>
      <c r="D64" s="789"/>
      <c r="E64" s="789"/>
      <c r="F64" s="789"/>
      <c r="G64" s="789"/>
      <c r="H64" s="789"/>
      <c r="I64" s="789"/>
      <c r="J64" s="795"/>
      <c r="K64" s="789"/>
      <c r="L64" s="789"/>
      <c r="M64" s="826"/>
      <c r="N64" s="826"/>
      <c r="O64" s="826"/>
      <c r="P64" s="826"/>
    </row>
    <row r="65" spans="1:16">
      <c r="A65" s="942">
        <v>1036</v>
      </c>
      <c r="B65" s="943">
        <v>5169</v>
      </c>
      <c r="C65" s="790" t="s">
        <v>596</v>
      </c>
      <c r="D65" s="944"/>
      <c r="E65" s="944"/>
      <c r="F65" s="944"/>
      <c r="G65" s="944"/>
      <c r="H65" s="944"/>
      <c r="I65" s="944"/>
      <c r="J65" s="866"/>
      <c r="K65" s="944"/>
      <c r="L65" s="944"/>
      <c r="M65" s="855"/>
      <c r="N65" s="855"/>
      <c r="O65" s="855">
        <v>95000</v>
      </c>
      <c r="P65" s="856">
        <v>300000</v>
      </c>
    </row>
    <row r="66" spans="1:16">
      <c r="A66" s="947">
        <v>2212</v>
      </c>
      <c r="B66" s="948">
        <v>5171</v>
      </c>
      <c r="C66" s="807" t="s">
        <v>597</v>
      </c>
      <c r="D66" s="902">
        <v>100000</v>
      </c>
      <c r="E66" s="902">
        <v>850000</v>
      </c>
      <c r="F66" s="902">
        <v>48062</v>
      </c>
      <c r="G66" s="956" t="e">
        <f>#REF!+320000-8943</f>
        <v>#REF!</v>
      </c>
      <c r="H66" s="902" t="e">
        <f>(G66+F66)</f>
        <v>#REF!</v>
      </c>
      <c r="I66" s="903">
        <v>50000</v>
      </c>
      <c r="J66" s="904">
        <v>800000</v>
      </c>
      <c r="K66" s="903">
        <v>1005157</v>
      </c>
      <c r="L66" s="903">
        <v>100000</v>
      </c>
      <c r="M66" s="853">
        <v>100000</v>
      </c>
      <c r="N66" s="853">
        <v>500000</v>
      </c>
      <c r="O66" s="853">
        <v>6500000</v>
      </c>
      <c r="P66" s="883">
        <v>12000000</v>
      </c>
    </row>
    <row r="67" spans="1:16" hidden="1">
      <c r="A67" s="773">
        <v>2219</v>
      </c>
      <c r="B67" s="772">
        <v>5171</v>
      </c>
      <c r="C67" s="785" t="s">
        <v>599</v>
      </c>
      <c r="D67" s="784"/>
      <c r="E67" s="784">
        <v>400000</v>
      </c>
      <c r="F67" s="784"/>
      <c r="G67" s="784">
        <v>0</v>
      </c>
      <c r="H67" s="784">
        <f>G67+F67</f>
        <v>0</v>
      </c>
      <c r="I67" s="802">
        <v>50000</v>
      </c>
      <c r="J67" s="810"/>
      <c r="K67" s="802">
        <v>8803</v>
      </c>
      <c r="L67" s="802">
        <v>100000</v>
      </c>
      <c r="M67" s="825">
        <v>170000</v>
      </c>
      <c r="N67" s="825">
        <v>100000</v>
      </c>
      <c r="O67" s="825"/>
      <c r="P67" s="863"/>
    </row>
    <row r="68" spans="1:16">
      <c r="A68" s="773">
        <v>2221</v>
      </c>
      <c r="B68" s="772">
        <v>5323</v>
      </c>
      <c r="C68" s="785" t="s">
        <v>600</v>
      </c>
      <c r="D68" s="784">
        <v>900000</v>
      </c>
      <c r="E68" s="784">
        <v>900000</v>
      </c>
      <c r="F68" s="784">
        <v>471613.32</v>
      </c>
      <c r="G68" s="784">
        <f t="shared" ref="G68:G110" si="12">E68-F68</f>
        <v>428386.68</v>
      </c>
      <c r="H68" s="784">
        <f t="shared" ref="H68:H128" si="13">G68+F68</f>
        <v>900000</v>
      </c>
      <c r="I68" s="802">
        <f>H68</f>
        <v>900000</v>
      </c>
      <c r="J68" s="810"/>
      <c r="K68" s="802">
        <v>794805</v>
      </c>
      <c r="L68" s="802">
        <v>900000</v>
      </c>
      <c r="M68" s="825">
        <v>900000</v>
      </c>
      <c r="N68" s="825">
        <v>900000</v>
      </c>
      <c r="O68" s="825">
        <v>900000</v>
      </c>
      <c r="P68" s="863">
        <v>900000</v>
      </c>
    </row>
    <row r="69" spans="1:16" hidden="1">
      <c r="A69" s="773">
        <v>2223</v>
      </c>
      <c r="B69" s="772">
        <v>5139</v>
      </c>
      <c r="C69" s="785" t="s">
        <v>601</v>
      </c>
      <c r="D69" s="784"/>
      <c r="E69" s="784"/>
      <c r="F69" s="784"/>
      <c r="G69" s="784"/>
      <c r="H69" s="784"/>
      <c r="I69" s="802"/>
      <c r="J69" s="810"/>
      <c r="K69" s="802"/>
      <c r="L69" s="802"/>
      <c r="M69" s="825"/>
      <c r="N69" s="825"/>
      <c r="O69" s="825">
        <v>60000</v>
      </c>
      <c r="P69" s="863"/>
    </row>
    <row r="70" spans="1:16" hidden="1">
      <c r="A70" s="773">
        <v>2223</v>
      </c>
      <c r="B70" s="772">
        <v>5169</v>
      </c>
      <c r="C70" s="785" t="s">
        <v>602</v>
      </c>
      <c r="D70" s="784"/>
      <c r="E70" s="784"/>
      <c r="F70" s="784"/>
      <c r="G70" s="784"/>
      <c r="H70" s="784"/>
      <c r="I70" s="802"/>
      <c r="J70" s="810"/>
      <c r="K70" s="802"/>
      <c r="L70" s="802"/>
      <c r="M70" s="825"/>
      <c r="N70" s="825"/>
      <c r="O70" s="825">
        <v>200000</v>
      </c>
      <c r="P70" s="863"/>
    </row>
    <row r="71" spans="1:16">
      <c r="A71" s="773">
        <v>2223</v>
      </c>
      <c r="B71" s="772">
        <v>5171</v>
      </c>
      <c r="C71" s="785" t="s">
        <v>603</v>
      </c>
      <c r="D71" s="784">
        <v>20000</v>
      </c>
      <c r="E71" s="784">
        <v>20000</v>
      </c>
      <c r="F71" s="784"/>
      <c r="G71" s="784">
        <f t="shared" si="12"/>
        <v>20000</v>
      </c>
      <c r="H71" s="784">
        <f t="shared" si="13"/>
        <v>20000</v>
      </c>
      <c r="I71" s="802">
        <f>H71</f>
        <v>20000</v>
      </c>
      <c r="J71" s="810"/>
      <c r="K71" s="802"/>
      <c r="L71" s="802">
        <v>20000</v>
      </c>
      <c r="M71" s="825">
        <v>1600000</v>
      </c>
      <c r="N71" s="825">
        <v>20000</v>
      </c>
      <c r="O71" s="825">
        <v>600000</v>
      </c>
      <c r="P71" s="863">
        <v>50000</v>
      </c>
    </row>
    <row r="72" spans="1:16">
      <c r="A72" s="836">
        <v>2223</v>
      </c>
      <c r="B72" s="837">
        <v>6121</v>
      </c>
      <c r="C72" s="838" t="s">
        <v>604</v>
      </c>
      <c r="D72" s="839"/>
      <c r="E72" s="839"/>
      <c r="F72" s="839"/>
      <c r="G72" s="839" t="e">
        <f>#REF!</f>
        <v>#REF!</v>
      </c>
      <c r="H72" s="839" t="e">
        <f t="shared" si="13"/>
        <v>#REF!</v>
      </c>
      <c r="I72" s="840" t="e">
        <f>#REF!</f>
        <v>#REF!</v>
      </c>
      <c r="J72" s="841"/>
      <c r="K72" s="840">
        <v>417871</v>
      </c>
      <c r="L72" s="840">
        <v>1150000</v>
      </c>
      <c r="M72" s="842">
        <v>80000</v>
      </c>
      <c r="N72" s="842">
        <f>330000+4750000+150000</f>
        <v>5230000</v>
      </c>
      <c r="O72" s="842">
        <v>3000000</v>
      </c>
      <c r="P72" s="901">
        <v>15000000</v>
      </c>
    </row>
    <row r="73" spans="1:16">
      <c r="A73" s="773">
        <v>2310</v>
      </c>
      <c r="B73" s="772">
        <v>5139</v>
      </c>
      <c r="C73" s="785" t="s">
        <v>606</v>
      </c>
      <c r="D73" s="784">
        <v>5000</v>
      </c>
      <c r="E73" s="784">
        <v>5000</v>
      </c>
      <c r="F73" s="784">
        <v>5733</v>
      </c>
      <c r="G73" s="784">
        <v>0</v>
      </c>
      <c r="H73" s="784">
        <f t="shared" si="13"/>
        <v>5733</v>
      </c>
      <c r="I73" s="802">
        <f>H73</f>
        <v>5733</v>
      </c>
      <c r="J73" s="810"/>
      <c r="K73" s="802"/>
      <c r="L73" s="802">
        <v>2000</v>
      </c>
      <c r="M73" s="825">
        <v>67000</v>
      </c>
      <c r="N73" s="825">
        <v>50000</v>
      </c>
      <c r="O73" s="825">
        <v>20000</v>
      </c>
      <c r="P73" s="863">
        <v>50000</v>
      </c>
    </row>
    <row r="74" spans="1:16">
      <c r="A74" s="773">
        <v>2321</v>
      </c>
      <c r="B74" s="772">
        <v>5169</v>
      </c>
      <c r="C74" s="785" t="s">
        <v>607</v>
      </c>
      <c r="D74" s="784">
        <v>10000</v>
      </c>
      <c r="E74" s="784">
        <v>10000</v>
      </c>
      <c r="F74" s="784"/>
      <c r="G74" s="784">
        <f t="shared" si="12"/>
        <v>10000</v>
      </c>
      <c r="H74" s="784">
        <f t="shared" si="13"/>
        <v>10000</v>
      </c>
      <c r="I74" s="802">
        <f t="shared" ref="I74:I87" si="14">H74</f>
        <v>10000</v>
      </c>
      <c r="J74" s="810"/>
      <c r="K74" s="802">
        <v>19316</v>
      </c>
      <c r="L74" s="802">
        <v>20000</v>
      </c>
      <c r="M74" s="825"/>
      <c r="N74" s="825">
        <v>20000</v>
      </c>
      <c r="O74" s="825"/>
      <c r="P74" s="863">
        <v>100000</v>
      </c>
    </row>
    <row r="75" spans="1:16">
      <c r="A75" s="773">
        <v>2321</v>
      </c>
      <c r="B75" s="772">
        <v>5171</v>
      </c>
      <c r="C75" s="785" t="s">
        <v>608</v>
      </c>
      <c r="D75" s="784">
        <v>40000</v>
      </c>
      <c r="E75" s="784">
        <v>40000</v>
      </c>
      <c r="F75" s="784"/>
      <c r="G75" s="784">
        <f t="shared" si="12"/>
        <v>40000</v>
      </c>
      <c r="H75" s="784">
        <f t="shared" si="13"/>
        <v>40000</v>
      </c>
      <c r="I75" s="802">
        <f t="shared" si="14"/>
        <v>40000</v>
      </c>
      <c r="J75" s="810"/>
      <c r="K75" s="802">
        <v>14707</v>
      </c>
      <c r="L75" s="802">
        <v>40000</v>
      </c>
      <c r="M75" s="825">
        <v>40000</v>
      </c>
      <c r="N75" s="825">
        <v>500000</v>
      </c>
      <c r="O75" s="825">
        <v>10000</v>
      </c>
      <c r="P75" s="863">
        <v>800000</v>
      </c>
    </row>
    <row r="76" spans="1:16">
      <c r="A76" s="773">
        <v>2329</v>
      </c>
      <c r="B76" s="772">
        <v>5011</v>
      </c>
      <c r="C76" s="785" t="s">
        <v>610</v>
      </c>
      <c r="D76" s="784">
        <v>20000</v>
      </c>
      <c r="E76" s="784">
        <v>20000</v>
      </c>
      <c r="F76" s="784">
        <v>10400</v>
      </c>
      <c r="G76" s="784">
        <f t="shared" si="12"/>
        <v>9600</v>
      </c>
      <c r="H76" s="784">
        <f t="shared" si="13"/>
        <v>20000</v>
      </c>
      <c r="I76" s="802">
        <f t="shared" si="14"/>
        <v>20000</v>
      </c>
      <c r="J76" s="810"/>
      <c r="K76" s="802">
        <v>49419</v>
      </c>
      <c r="L76" s="802">
        <v>80000</v>
      </c>
      <c r="M76" s="825">
        <v>100000</v>
      </c>
      <c r="N76" s="825">
        <v>100000</v>
      </c>
      <c r="O76" s="825">
        <v>120000</v>
      </c>
      <c r="P76" s="863">
        <v>120000</v>
      </c>
    </row>
    <row r="77" spans="1:16">
      <c r="A77" s="773">
        <v>2329</v>
      </c>
      <c r="B77" s="772">
        <v>5021</v>
      </c>
      <c r="C77" s="785" t="s">
        <v>611</v>
      </c>
      <c r="D77" s="784">
        <v>30000</v>
      </c>
      <c r="E77" s="784">
        <v>30000</v>
      </c>
      <c r="F77" s="784">
        <v>30450</v>
      </c>
      <c r="G77" s="784">
        <v>0</v>
      </c>
      <c r="H77" s="784">
        <f t="shared" si="13"/>
        <v>30450</v>
      </c>
      <c r="I77" s="802">
        <f t="shared" si="14"/>
        <v>30450</v>
      </c>
      <c r="J77" s="810"/>
      <c r="K77" s="802">
        <v>45391</v>
      </c>
      <c r="L77" s="802">
        <v>60000</v>
      </c>
      <c r="M77" s="825">
        <v>50000</v>
      </c>
      <c r="N77" s="825">
        <v>50000</v>
      </c>
      <c r="O77" s="825">
        <v>60000</v>
      </c>
      <c r="P77" s="863">
        <v>60000</v>
      </c>
    </row>
    <row r="78" spans="1:16">
      <c r="A78" s="773">
        <v>2329</v>
      </c>
      <c r="B78" s="772">
        <v>5031</v>
      </c>
      <c r="C78" s="785" t="s">
        <v>612</v>
      </c>
      <c r="D78" s="784">
        <v>12000</v>
      </c>
      <c r="E78" s="784">
        <v>12000</v>
      </c>
      <c r="F78" s="784">
        <v>2590</v>
      </c>
      <c r="G78" s="784">
        <f t="shared" si="12"/>
        <v>9410</v>
      </c>
      <c r="H78" s="784">
        <f t="shared" si="13"/>
        <v>12000</v>
      </c>
      <c r="I78" s="802">
        <f t="shared" si="14"/>
        <v>12000</v>
      </c>
      <c r="J78" s="810"/>
      <c r="K78" s="802">
        <v>3682</v>
      </c>
      <c r="L78" s="802">
        <v>12000</v>
      </c>
      <c r="M78" s="825">
        <v>10000</v>
      </c>
      <c r="N78" s="825">
        <v>10000</v>
      </c>
      <c r="O78" s="825">
        <v>10000</v>
      </c>
      <c r="P78" s="863">
        <v>10000</v>
      </c>
    </row>
    <row r="79" spans="1:16">
      <c r="A79" s="773">
        <v>2329</v>
      </c>
      <c r="B79" s="772">
        <v>5032</v>
      </c>
      <c r="C79" s="785" t="s">
        <v>613</v>
      </c>
      <c r="D79" s="784">
        <v>8000</v>
      </c>
      <c r="E79" s="784">
        <v>8000</v>
      </c>
      <c r="F79" s="784">
        <v>936</v>
      </c>
      <c r="G79" s="784">
        <f t="shared" si="12"/>
        <v>7064</v>
      </c>
      <c r="H79" s="784">
        <f t="shared" si="13"/>
        <v>8000</v>
      </c>
      <c r="I79" s="802">
        <f t="shared" si="14"/>
        <v>8000</v>
      </c>
      <c r="J79" s="810"/>
      <c r="K79" s="802">
        <v>1337</v>
      </c>
      <c r="L79" s="802">
        <v>8000</v>
      </c>
      <c r="M79" s="825">
        <v>5000</v>
      </c>
      <c r="N79" s="825">
        <v>5000</v>
      </c>
      <c r="O79" s="825">
        <v>5000</v>
      </c>
      <c r="P79" s="863">
        <v>5000</v>
      </c>
    </row>
    <row r="80" spans="1:16">
      <c r="A80" s="773">
        <v>2329</v>
      </c>
      <c r="B80" s="772">
        <v>5139</v>
      </c>
      <c r="C80" s="785" t="s">
        <v>614</v>
      </c>
      <c r="D80" s="784">
        <v>5000</v>
      </c>
      <c r="E80" s="784">
        <v>25000</v>
      </c>
      <c r="F80" s="784">
        <v>22620</v>
      </c>
      <c r="G80" s="784">
        <f t="shared" si="12"/>
        <v>2380</v>
      </c>
      <c r="H80" s="784">
        <f t="shared" si="13"/>
        <v>25000</v>
      </c>
      <c r="I80" s="802">
        <f t="shared" si="14"/>
        <v>25000</v>
      </c>
      <c r="J80" s="810"/>
      <c r="K80" s="802">
        <v>39540</v>
      </c>
      <c r="L80" s="802">
        <v>56000</v>
      </c>
      <c r="M80" s="825">
        <v>140000</v>
      </c>
      <c r="N80" s="825">
        <v>140000</v>
      </c>
      <c r="O80" s="825">
        <v>140000</v>
      </c>
      <c r="P80" s="863">
        <v>140000</v>
      </c>
    </row>
    <row r="81" spans="1:16">
      <c r="A81" s="773">
        <v>2329</v>
      </c>
      <c r="B81" s="772">
        <v>5154</v>
      </c>
      <c r="C81" s="785" t="s">
        <v>615</v>
      </c>
      <c r="D81" s="784">
        <v>300000</v>
      </c>
      <c r="E81" s="784">
        <v>300000</v>
      </c>
      <c r="F81" s="784">
        <v>245523.26</v>
      </c>
      <c r="G81" s="784">
        <f t="shared" si="12"/>
        <v>54476.739999999991</v>
      </c>
      <c r="H81" s="784">
        <f t="shared" si="13"/>
        <v>300000</v>
      </c>
      <c r="I81" s="802">
        <f t="shared" si="14"/>
        <v>300000</v>
      </c>
      <c r="J81" s="810"/>
      <c r="K81" s="802">
        <v>357221</v>
      </c>
      <c r="L81" s="802">
        <v>400000</v>
      </c>
      <c r="M81" s="825">
        <v>1300000</v>
      </c>
      <c r="N81" s="825">
        <v>1400000</v>
      </c>
      <c r="O81" s="825">
        <v>1000000</v>
      </c>
      <c r="P81" s="863">
        <v>1000000</v>
      </c>
    </row>
    <row r="82" spans="1:16" hidden="1">
      <c r="A82" s="773">
        <v>2329</v>
      </c>
      <c r="B82" s="772">
        <v>5151</v>
      </c>
      <c r="C82" s="785" t="s">
        <v>616</v>
      </c>
      <c r="D82" s="784"/>
      <c r="E82" s="784"/>
      <c r="F82" s="784">
        <v>49320</v>
      </c>
      <c r="G82" s="784">
        <f>60000-F82</f>
        <v>10680</v>
      </c>
      <c r="H82" s="784">
        <f t="shared" si="13"/>
        <v>60000</v>
      </c>
      <c r="I82" s="802">
        <f t="shared" si="14"/>
        <v>60000</v>
      </c>
      <c r="J82" s="810"/>
      <c r="K82" s="802"/>
      <c r="L82" s="802">
        <v>10000</v>
      </c>
      <c r="M82" s="825">
        <v>10000</v>
      </c>
      <c r="N82" s="825">
        <v>10000</v>
      </c>
      <c r="O82" s="825"/>
      <c r="P82" s="863"/>
    </row>
    <row r="83" spans="1:16">
      <c r="A83" s="773">
        <v>2329</v>
      </c>
      <c r="B83" s="772">
        <v>5169</v>
      </c>
      <c r="C83" s="785" t="s">
        <v>617</v>
      </c>
      <c r="D83" s="784">
        <v>750000</v>
      </c>
      <c r="E83" s="784">
        <v>750000</v>
      </c>
      <c r="F83" s="784">
        <v>274259.26</v>
      </c>
      <c r="G83" s="784">
        <f t="shared" si="12"/>
        <v>475740.74</v>
      </c>
      <c r="H83" s="784">
        <f t="shared" si="13"/>
        <v>750000</v>
      </c>
      <c r="I83" s="802">
        <f t="shared" si="14"/>
        <v>750000</v>
      </c>
      <c r="J83" s="810"/>
      <c r="K83" s="802">
        <v>376997</v>
      </c>
      <c r="L83" s="802">
        <v>510000</v>
      </c>
      <c r="M83" s="825">
        <v>500000</v>
      </c>
      <c r="N83" s="825">
        <v>500000</v>
      </c>
      <c r="O83" s="825">
        <v>500000</v>
      </c>
      <c r="P83" s="863">
        <v>500000</v>
      </c>
    </row>
    <row r="84" spans="1:16">
      <c r="A84" s="773">
        <v>2329</v>
      </c>
      <c r="B84" s="772">
        <v>5171</v>
      </c>
      <c r="C84" s="785" t="s">
        <v>618</v>
      </c>
      <c r="D84" s="784">
        <v>100000</v>
      </c>
      <c r="E84" s="784">
        <v>100000</v>
      </c>
      <c r="F84" s="784">
        <v>73498.52</v>
      </c>
      <c r="G84" s="784">
        <f t="shared" si="12"/>
        <v>26501.479999999996</v>
      </c>
      <c r="H84" s="784">
        <f t="shared" si="13"/>
        <v>100000</v>
      </c>
      <c r="I84" s="802">
        <f t="shared" si="14"/>
        <v>100000</v>
      </c>
      <c r="J84" s="810"/>
      <c r="K84" s="802">
        <v>144713</v>
      </c>
      <c r="L84" s="802">
        <v>150000</v>
      </c>
      <c r="M84" s="825">
        <v>220000</v>
      </c>
      <c r="N84" s="825">
        <v>200000</v>
      </c>
      <c r="O84" s="825">
        <v>350000</v>
      </c>
      <c r="P84" s="863">
        <v>350000</v>
      </c>
    </row>
    <row r="85" spans="1:16">
      <c r="A85" s="773">
        <v>2329</v>
      </c>
      <c r="B85" s="772">
        <v>5362</v>
      </c>
      <c r="C85" s="785" t="s">
        <v>619</v>
      </c>
      <c r="D85" s="784">
        <v>30000</v>
      </c>
      <c r="E85" s="784">
        <v>30000</v>
      </c>
      <c r="F85" s="784"/>
      <c r="G85" s="784">
        <f t="shared" si="12"/>
        <v>30000</v>
      </c>
      <c r="H85" s="784">
        <f t="shared" si="13"/>
        <v>30000</v>
      </c>
      <c r="I85" s="802">
        <f t="shared" si="14"/>
        <v>30000</v>
      </c>
      <c r="J85" s="810"/>
      <c r="K85" s="802">
        <v>21725</v>
      </c>
      <c r="L85" s="802">
        <v>25000</v>
      </c>
      <c r="M85" s="825">
        <v>25000</v>
      </c>
      <c r="N85" s="825">
        <v>25000</v>
      </c>
      <c r="O85" s="825">
        <v>22000</v>
      </c>
      <c r="P85" s="863">
        <v>25000</v>
      </c>
    </row>
    <row r="86" spans="1:16" hidden="1">
      <c r="A86" s="836">
        <v>2329</v>
      </c>
      <c r="B86" s="837">
        <v>6121</v>
      </c>
      <c r="C86" s="838" t="s">
        <v>620</v>
      </c>
      <c r="D86" s="839"/>
      <c r="E86" s="839"/>
      <c r="F86" s="839"/>
      <c r="G86" s="839"/>
      <c r="H86" s="839"/>
      <c r="I86" s="840"/>
      <c r="J86" s="841"/>
      <c r="K86" s="840">
        <v>613175</v>
      </c>
      <c r="L86" s="840"/>
      <c r="M86" s="842">
        <v>180000</v>
      </c>
      <c r="N86" s="842">
        <v>150000</v>
      </c>
      <c r="O86" s="842"/>
      <c r="P86" s="901"/>
    </row>
    <row r="87" spans="1:16">
      <c r="A87" s="773">
        <v>2334</v>
      </c>
      <c r="B87" s="772">
        <v>5171</v>
      </c>
      <c r="C87" s="785" t="s">
        <v>621</v>
      </c>
      <c r="D87" s="784">
        <v>50000</v>
      </c>
      <c r="E87" s="784">
        <v>200000</v>
      </c>
      <c r="F87" s="784">
        <v>29597</v>
      </c>
      <c r="G87" s="784">
        <f t="shared" si="12"/>
        <v>170403</v>
      </c>
      <c r="H87" s="784">
        <f t="shared" si="13"/>
        <v>200000</v>
      </c>
      <c r="I87" s="802">
        <f t="shared" si="14"/>
        <v>200000</v>
      </c>
      <c r="J87" s="810"/>
      <c r="K87" s="802">
        <v>81053</v>
      </c>
      <c r="L87" s="802">
        <v>100000</v>
      </c>
      <c r="M87" s="825">
        <v>10000</v>
      </c>
      <c r="N87" s="825">
        <v>100000</v>
      </c>
      <c r="O87" s="825">
        <v>100000</v>
      </c>
      <c r="P87" s="863">
        <v>100000</v>
      </c>
    </row>
    <row r="88" spans="1:16">
      <c r="A88" s="836">
        <v>2334</v>
      </c>
      <c r="B88" s="837">
        <v>6121</v>
      </c>
      <c r="C88" s="838" t="s">
        <v>622</v>
      </c>
      <c r="D88" s="839"/>
      <c r="E88" s="839"/>
      <c r="F88" s="839"/>
      <c r="G88" s="839" t="e">
        <f>#REF!</f>
        <v>#REF!</v>
      </c>
      <c r="H88" s="839" t="e">
        <f t="shared" si="13"/>
        <v>#REF!</v>
      </c>
      <c r="I88" s="840" t="e">
        <f>#REF!</f>
        <v>#REF!</v>
      </c>
      <c r="J88" s="841"/>
      <c r="K88" s="840"/>
      <c r="L88" s="840">
        <v>4900000</v>
      </c>
      <c r="M88" s="842">
        <v>340000</v>
      </c>
      <c r="N88" s="842">
        <v>30000</v>
      </c>
      <c r="O88" s="842">
        <v>250000</v>
      </c>
      <c r="P88" s="901">
        <v>2500000</v>
      </c>
    </row>
    <row r="89" spans="1:16" hidden="1">
      <c r="A89" s="773">
        <v>3111</v>
      </c>
      <c r="B89" s="772">
        <v>5137</v>
      </c>
      <c r="C89" s="785" t="s">
        <v>624</v>
      </c>
      <c r="D89" s="784"/>
      <c r="E89" s="784">
        <v>2500000</v>
      </c>
      <c r="F89" s="784">
        <v>890909.21</v>
      </c>
      <c r="G89" s="784">
        <f t="shared" si="12"/>
        <v>1609090.79</v>
      </c>
      <c r="H89" s="784">
        <f t="shared" si="13"/>
        <v>2500000</v>
      </c>
      <c r="I89" s="802">
        <v>0</v>
      </c>
      <c r="J89" s="810"/>
      <c r="K89" s="802"/>
      <c r="L89" s="802"/>
      <c r="M89" s="825"/>
      <c r="N89" s="825"/>
      <c r="O89" s="825"/>
      <c r="P89" s="863"/>
    </row>
    <row r="90" spans="1:16" hidden="1">
      <c r="A90" s="773">
        <v>3111</v>
      </c>
      <c r="B90" s="772">
        <v>5139</v>
      </c>
      <c r="C90" s="785" t="s">
        <v>625</v>
      </c>
      <c r="D90" s="784"/>
      <c r="E90" s="784">
        <v>50000</v>
      </c>
      <c r="F90" s="784">
        <v>232473.4</v>
      </c>
      <c r="G90" s="784">
        <f>235000-F90</f>
        <v>2526.6000000000058</v>
      </c>
      <c r="H90" s="784">
        <f t="shared" si="13"/>
        <v>235000</v>
      </c>
      <c r="I90" s="802">
        <v>0</v>
      </c>
      <c r="J90" s="810"/>
      <c r="K90" s="802"/>
      <c r="L90" s="802"/>
      <c r="M90" s="825"/>
      <c r="N90" s="825"/>
      <c r="O90" s="825"/>
      <c r="P90" s="863"/>
    </row>
    <row r="91" spans="1:16" hidden="1">
      <c r="A91" s="773">
        <v>3111</v>
      </c>
      <c r="B91" s="772">
        <v>5153</v>
      </c>
      <c r="C91" s="785" t="s">
        <v>626</v>
      </c>
      <c r="D91" s="784"/>
      <c r="E91" s="784"/>
      <c r="F91" s="784">
        <v>16000</v>
      </c>
      <c r="G91" s="784">
        <f>20000-F91</f>
        <v>4000</v>
      </c>
      <c r="H91" s="784">
        <f t="shared" si="13"/>
        <v>20000</v>
      </c>
      <c r="I91" s="802">
        <v>0</v>
      </c>
      <c r="J91" s="810"/>
      <c r="K91" s="802"/>
      <c r="L91" s="802"/>
      <c r="M91" s="825"/>
      <c r="N91" s="825"/>
      <c r="O91" s="825"/>
      <c r="P91" s="863"/>
    </row>
    <row r="92" spans="1:16" hidden="1">
      <c r="A92" s="773">
        <v>3111</v>
      </c>
      <c r="B92" s="772">
        <v>5169</v>
      </c>
      <c r="C92" s="785" t="s">
        <v>627</v>
      </c>
      <c r="D92" s="784"/>
      <c r="E92" s="784">
        <v>50000</v>
      </c>
      <c r="F92" s="784">
        <v>40465.4</v>
      </c>
      <c r="G92" s="784">
        <f t="shared" si="12"/>
        <v>9534.5999999999985</v>
      </c>
      <c r="H92" s="784">
        <f t="shared" si="13"/>
        <v>50000</v>
      </c>
      <c r="I92" s="802">
        <v>0</v>
      </c>
      <c r="J92" s="810"/>
      <c r="K92" s="802"/>
      <c r="L92" s="802"/>
      <c r="M92" s="825"/>
      <c r="N92" s="825"/>
      <c r="O92" s="825"/>
      <c r="P92" s="863"/>
    </row>
    <row r="93" spans="1:16" hidden="1">
      <c r="A93" s="773">
        <v>3111</v>
      </c>
      <c r="B93" s="772">
        <v>5175</v>
      </c>
      <c r="C93" s="785" t="s">
        <v>628</v>
      </c>
      <c r="D93" s="784"/>
      <c r="E93" s="784"/>
      <c r="F93" s="784">
        <v>8959.75</v>
      </c>
      <c r="G93" s="784">
        <f>10000-F93</f>
        <v>1040.25</v>
      </c>
      <c r="H93" s="784">
        <f t="shared" si="13"/>
        <v>10000</v>
      </c>
      <c r="I93" s="802">
        <v>0</v>
      </c>
      <c r="J93" s="810"/>
      <c r="K93" s="802"/>
      <c r="L93" s="802"/>
      <c r="M93" s="825"/>
      <c r="N93" s="825"/>
      <c r="O93" s="825"/>
      <c r="P93" s="863"/>
    </row>
    <row r="94" spans="1:16" hidden="1">
      <c r="A94" s="773">
        <v>3111</v>
      </c>
      <c r="B94" s="821">
        <v>5154</v>
      </c>
      <c r="C94" s="785" t="s">
        <v>629</v>
      </c>
      <c r="D94" s="784"/>
      <c r="E94" s="784"/>
      <c r="F94" s="784"/>
      <c r="G94" s="784"/>
      <c r="H94" s="784"/>
      <c r="I94" s="802"/>
      <c r="J94" s="811"/>
      <c r="K94" s="802">
        <v>15870</v>
      </c>
      <c r="L94" s="802"/>
      <c r="M94" s="825"/>
      <c r="N94" s="825"/>
      <c r="O94" s="825"/>
      <c r="P94" s="863"/>
    </row>
    <row r="95" spans="1:16">
      <c r="A95" s="773">
        <v>3111</v>
      </c>
      <c r="B95" s="821">
        <v>5162</v>
      </c>
      <c r="C95" s="785" t="s">
        <v>630</v>
      </c>
      <c r="D95" s="784"/>
      <c r="E95" s="784"/>
      <c r="F95" s="784"/>
      <c r="G95" s="784"/>
      <c r="H95" s="784"/>
      <c r="I95" s="802"/>
      <c r="J95" s="811"/>
      <c r="K95" s="802">
        <v>11437</v>
      </c>
      <c r="L95" s="802">
        <v>30000</v>
      </c>
      <c r="M95" s="825">
        <v>40000</v>
      </c>
      <c r="N95" s="825">
        <v>40000</v>
      </c>
      <c r="O95" s="825">
        <v>40000</v>
      </c>
      <c r="P95" s="863">
        <v>40000</v>
      </c>
    </row>
    <row r="96" spans="1:16">
      <c r="A96" s="773">
        <v>3111</v>
      </c>
      <c r="B96" s="772">
        <v>5331</v>
      </c>
      <c r="C96" s="785" t="s">
        <v>631</v>
      </c>
      <c r="D96" s="784"/>
      <c r="E96" s="784">
        <v>499200</v>
      </c>
      <c r="F96" s="784"/>
      <c r="G96" s="784">
        <f t="shared" si="12"/>
        <v>499200</v>
      </c>
      <c r="H96" s="784">
        <f t="shared" si="13"/>
        <v>499200</v>
      </c>
      <c r="I96" s="802">
        <f>1300*96*12</f>
        <v>1497600</v>
      </c>
      <c r="J96" s="810"/>
      <c r="K96" s="802">
        <v>1123200</v>
      </c>
      <c r="L96" s="802">
        <v>956700</v>
      </c>
      <c r="M96" s="825">
        <v>956700</v>
      </c>
      <c r="N96" s="825">
        <v>1313700</v>
      </c>
      <c r="O96" s="825">
        <v>1313700</v>
      </c>
      <c r="P96" s="863">
        <v>1474000</v>
      </c>
    </row>
    <row r="97" spans="1:16">
      <c r="A97" s="836">
        <v>3111</v>
      </c>
      <c r="B97" s="837">
        <v>6121</v>
      </c>
      <c r="C97" s="838" t="s">
        <v>632</v>
      </c>
      <c r="D97" s="839">
        <f>20000000+10000000</f>
        <v>30000000</v>
      </c>
      <c r="E97" s="839">
        <v>26500000</v>
      </c>
      <c r="F97" s="839">
        <v>24569003.579999998</v>
      </c>
      <c r="G97" s="839">
        <v>0</v>
      </c>
      <c r="H97" s="839">
        <f t="shared" si="13"/>
        <v>24569003.579999998</v>
      </c>
      <c r="I97" s="840" t="e">
        <f>#REF!</f>
        <v>#REF!</v>
      </c>
      <c r="J97" s="846"/>
      <c r="K97" s="840"/>
      <c r="L97" s="840">
        <v>0</v>
      </c>
      <c r="M97" s="845"/>
      <c r="N97" s="845"/>
      <c r="O97" s="845"/>
      <c r="P97" s="901">
        <v>600000</v>
      </c>
    </row>
    <row r="98" spans="1:16">
      <c r="A98" s="773">
        <v>3113</v>
      </c>
      <c r="B98" s="772">
        <v>5169</v>
      </c>
      <c r="C98" s="785" t="s">
        <v>1225</v>
      </c>
      <c r="D98" s="784"/>
      <c r="E98" s="784"/>
      <c r="F98" s="784"/>
      <c r="G98" s="784"/>
      <c r="H98" s="784"/>
      <c r="I98" s="802"/>
      <c r="J98" s="810"/>
      <c r="K98" s="802"/>
      <c r="L98" s="802"/>
      <c r="M98" s="825">
        <v>600000</v>
      </c>
      <c r="N98" s="825"/>
      <c r="O98" s="825">
        <v>40000</v>
      </c>
      <c r="P98" s="863">
        <v>350000</v>
      </c>
    </row>
    <row r="99" spans="1:16" hidden="1">
      <c r="A99" s="892">
        <v>3113</v>
      </c>
      <c r="B99" s="893">
        <v>6121</v>
      </c>
      <c r="C99" s="894" t="s">
        <v>635</v>
      </c>
      <c r="D99" s="895"/>
      <c r="E99" s="895"/>
      <c r="F99" s="895"/>
      <c r="G99" s="895"/>
      <c r="H99" s="895"/>
      <c r="I99" s="896"/>
      <c r="J99" s="905"/>
      <c r="K99" s="896"/>
      <c r="L99" s="896"/>
      <c r="M99" s="898"/>
      <c r="N99" s="898">
        <v>300000</v>
      </c>
      <c r="O99" s="890"/>
      <c r="P99" s="891"/>
    </row>
    <row r="100" spans="1:16">
      <c r="A100" s="836">
        <v>3113</v>
      </c>
      <c r="B100" s="837">
        <v>6351</v>
      </c>
      <c r="C100" s="838" t="s">
        <v>636</v>
      </c>
      <c r="D100" s="839">
        <v>2000000</v>
      </c>
      <c r="E100" s="839">
        <v>2000000</v>
      </c>
      <c r="F100" s="839"/>
      <c r="G100" s="839" t="e">
        <f>#REF!</f>
        <v>#REF!</v>
      </c>
      <c r="H100" s="839" t="e">
        <f t="shared" si="13"/>
        <v>#REF!</v>
      </c>
      <c r="I100" s="840" t="e">
        <f>#REF!</f>
        <v>#REF!</v>
      </c>
      <c r="J100" s="846"/>
      <c r="K100" s="840">
        <v>60355</v>
      </c>
      <c r="L100" s="840">
        <v>600000</v>
      </c>
      <c r="M100" s="842">
        <v>1500000</v>
      </c>
      <c r="N100" s="842">
        <v>3100000</v>
      </c>
      <c r="O100" s="842">
        <v>500000</v>
      </c>
      <c r="P100" s="901">
        <v>2000000</v>
      </c>
    </row>
    <row r="101" spans="1:16">
      <c r="A101" s="773">
        <v>3326</v>
      </c>
      <c r="B101" s="772">
        <v>5171</v>
      </c>
      <c r="C101" s="785" t="s">
        <v>638</v>
      </c>
      <c r="D101" s="784"/>
      <c r="E101" s="784"/>
      <c r="F101" s="784"/>
      <c r="G101" s="784"/>
      <c r="H101" s="784"/>
      <c r="I101" s="802"/>
      <c r="J101" s="810"/>
      <c r="K101" s="802"/>
      <c r="L101" s="802"/>
      <c r="M101" s="825"/>
      <c r="N101" s="825"/>
      <c r="O101" s="825"/>
      <c r="P101" s="863">
        <v>300000</v>
      </c>
    </row>
    <row r="102" spans="1:16">
      <c r="A102" s="773">
        <v>3399</v>
      </c>
      <c r="B102" s="772">
        <v>5139</v>
      </c>
      <c r="C102" s="785" t="s">
        <v>639</v>
      </c>
      <c r="D102" s="784">
        <v>40000</v>
      </c>
      <c r="E102" s="784">
        <v>40000</v>
      </c>
      <c r="F102" s="784"/>
      <c r="G102" s="784">
        <f t="shared" si="12"/>
        <v>40000</v>
      </c>
      <c r="H102" s="784">
        <f t="shared" si="13"/>
        <v>40000</v>
      </c>
      <c r="I102" s="802">
        <f t="shared" ref="I102:I113" si="15">H102</f>
        <v>40000</v>
      </c>
      <c r="J102" s="810"/>
      <c r="K102" s="802"/>
      <c r="L102" s="802">
        <v>40000</v>
      </c>
      <c r="M102" s="825">
        <v>20000</v>
      </c>
      <c r="N102" s="825">
        <v>40000</v>
      </c>
      <c r="O102" s="825">
        <v>40000</v>
      </c>
      <c r="P102" s="863">
        <v>40000</v>
      </c>
    </row>
    <row r="103" spans="1:16">
      <c r="A103" s="773">
        <v>3399</v>
      </c>
      <c r="B103" s="772">
        <v>5169</v>
      </c>
      <c r="C103" s="785" t="s">
        <v>640</v>
      </c>
      <c r="D103" s="784">
        <v>20000</v>
      </c>
      <c r="E103" s="784">
        <v>20000</v>
      </c>
      <c r="F103" s="784">
        <v>32166</v>
      </c>
      <c r="G103" s="784">
        <v>0</v>
      </c>
      <c r="H103" s="784">
        <f t="shared" si="13"/>
        <v>32166</v>
      </c>
      <c r="I103" s="802">
        <f t="shared" si="15"/>
        <v>32166</v>
      </c>
      <c r="J103" s="810"/>
      <c r="K103" s="802">
        <v>64530</v>
      </c>
      <c r="L103" s="802">
        <v>65000</v>
      </c>
      <c r="M103" s="825">
        <v>65000</v>
      </c>
      <c r="N103" s="825">
        <v>65000</v>
      </c>
      <c r="O103" s="825">
        <v>140000</v>
      </c>
      <c r="P103" s="863">
        <v>140000</v>
      </c>
    </row>
    <row r="104" spans="1:16">
      <c r="A104" s="773">
        <v>3399</v>
      </c>
      <c r="B104" s="772">
        <v>5175</v>
      </c>
      <c r="C104" s="785" t="s">
        <v>641</v>
      </c>
      <c r="D104" s="784">
        <v>100000</v>
      </c>
      <c r="E104" s="784">
        <v>100000</v>
      </c>
      <c r="F104" s="784">
        <v>50556</v>
      </c>
      <c r="G104" s="784">
        <f t="shared" si="12"/>
        <v>49444</v>
      </c>
      <c r="H104" s="784">
        <f t="shared" si="13"/>
        <v>100000</v>
      </c>
      <c r="I104" s="802">
        <f t="shared" si="15"/>
        <v>100000</v>
      </c>
      <c r="J104" s="810"/>
      <c r="K104" s="802">
        <v>45610</v>
      </c>
      <c r="L104" s="802">
        <v>100000</v>
      </c>
      <c r="M104" s="825">
        <v>80000</v>
      </c>
      <c r="N104" s="825">
        <v>100000</v>
      </c>
      <c r="O104" s="825">
        <v>30000</v>
      </c>
      <c r="P104" s="863">
        <v>50000</v>
      </c>
    </row>
    <row r="105" spans="1:16">
      <c r="A105" s="773">
        <v>3399</v>
      </c>
      <c r="B105" s="772">
        <v>5194</v>
      </c>
      <c r="C105" s="785" t="s">
        <v>642</v>
      </c>
      <c r="D105" s="784">
        <v>15000</v>
      </c>
      <c r="E105" s="784">
        <v>15000</v>
      </c>
      <c r="F105" s="784">
        <v>14779</v>
      </c>
      <c r="G105" s="784">
        <f t="shared" si="12"/>
        <v>221</v>
      </c>
      <c r="H105" s="784">
        <f t="shared" si="13"/>
        <v>15000</v>
      </c>
      <c r="I105" s="802">
        <f t="shared" si="15"/>
        <v>15000</v>
      </c>
      <c r="J105" s="810"/>
      <c r="K105" s="802">
        <v>20000</v>
      </c>
      <c r="L105" s="802">
        <v>20000</v>
      </c>
      <c r="M105" s="825">
        <v>70000</v>
      </c>
      <c r="N105" s="825">
        <v>40000</v>
      </c>
      <c r="O105" s="825">
        <v>40000</v>
      </c>
      <c r="P105" s="863">
        <v>40000</v>
      </c>
    </row>
    <row r="106" spans="1:16" hidden="1">
      <c r="A106" s="773">
        <v>3421</v>
      </c>
      <c r="B106" s="772">
        <v>5139</v>
      </c>
      <c r="C106" s="785" t="s">
        <v>643</v>
      </c>
      <c r="D106" s="784"/>
      <c r="E106" s="784"/>
      <c r="F106" s="784">
        <v>890</v>
      </c>
      <c r="G106" s="784">
        <v>0</v>
      </c>
      <c r="H106" s="784">
        <f t="shared" si="13"/>
        <v>890</v>
      </c>
      <c r="I106" s="802">
        <f t="shared" si="15"/>
        <v>890</v>
      </c>
      <c r="J106" s="810"/>
      <c r="K106" s="802"/>
      <c r="L106" s="802"/>
      <c r="M106" s="825">
        <v>5000</v>
      </c>
      <c r="N106" s="825">
        <v>5000</v>
      </c>
      <c r="O106" s="825"/>
      <c r="P106" s="863"/>
    </row>
    <row r="107" spans="1:16">
      <c r="A107" s="773">
        <v>3421</v>
      </c>
      <c r="B107" s="772">
        <v>5169</v>
      </c>
      <c r="C107" s="785" t="s">
        <v>644</v>
      </c>
      <c r="D107" s="784">
        <v>5000</v>
      </c>
      <c r="E107" s="784">
        <v>265000</v>
      </c>
      <c r="F107" s="784"/>
      <c r="G107" s="784">
        <v>25000</v>
      </c>
      <c r="H107" s="784">
        <f t="shared" si="13"/>
        <v>25000</v>
      </c>
      <c r="I107" s="802">
        <f t="shared" si="15"/>
        <v>25000</v>
      </c>
      <c r="J107" s="810"/>
      <c r="K107" s="802"/>
      <c r="L107" s="802">
        <v>25000</v>
      </c>
      <c r="M107" s="825">
        <v>25000</v>
      </c>
      <c r="N107" s="825">
        <v>25000</v>
      </c>
      <c r="O107" s="825">
        <v>25000</v>
      </c>
      <c r="P107" s="863">
        <v>25000</v>
      </c>
    </row>
    <row r="108" spans="1:16">
      <c r="A108" s="836">
        <v>3412</v>
      </c>
      <c r="B108" s="837">
        <v>6121</v>
      </c>
      <c r="C108" s="838" t="s">
        <v>645</v>
      </c>
      <c r="D108" s="839"/>
      <c r="E108" s="839"/>
      <c r="F108" s="839"/>
      <c r="G108" s="839"/>
      <c r="H108" s="839"/>
      <c r="I108" s="840"/>
      <c r="J108" s="841"/>
      <c r="K108" s="840"/>
      <c r="L108" s="840">
        <v>3000000</v>
      </c>
      <c r="M108" s="842"/>
      <c r="N108" s="842"/>
      <c r="O108" s="842">
        <v>450000</v>
      </c>
      <c r="P108" s="901">
        <v>10000000</v>
      </c>
    </row>
    <row r="109" spans="1:16">
      <c r="A109" s="836">
        <v>3412</v>
      </c>
      <c r="B109" s="837">
        <v>6122</v>
      </c>
      <c r="C109" s="838" t="s">
        <v>647</v>
      </c>
      <c r="D109" s="839"/>
      <c r="E109" s="839"/>
      <c r="F109" s="839"/>
      <c r="G109" s="839" t="e">
        <f>#REF!</f>
        <v>#REF!</v>
      </c>
      <c r="H109" s="839" t="e">
        <f t="shared" si="13"/>
        <v>#REF!</v>
      </c>
      <c r="I109" s="840" t="e">
        <f>#REF!</f>
        <v>#REF!</v>
      </c>
      <c r="J109" s="841"/>
      <c r="K109" s="840"/>
      <c r="L109" s="840">
        <v>4000000</v>
      </c>
      <c r="M109" s="842">
        <v>430000</v>
      </c>
      <c r="N109" s="842">
        <v>650000</v>
      </c>
      <c r="O109" s="842">
        <v>500000</v>
      </c>
      <c r="P109" s="901">
        <v>1250000</v>
      </c>
    </row>
    <row r="110" spans="1:16" hidden="1">
      <c r="A110" s="773">
        <v>3613</v>
      </c>
      <c r="B110" s="772">
        <v>5171</v>
      </c>
      <c r="C110" s="785" t="s">
        <v>649</v>
      </c>
      <c r="D110" s="784">
        <v>10000</v>
      </c>
      <c r="E110" s="784">
        <v>400000</v>
      </c>
      <c r="F110" s="784">
        <v>229711</v>
      </c>
      <c r="G110" s="784">
        <f t="shared" si="12"/>
        <v>170289</v>
      </c>
      <c r="H110" s="784">
        <f t="shared" si="13"/>
        <v>400000</v>
      </c>
      <c r="I110" s="802">
        <f t="shared" si="15"/>
        <v>400000</v>
      </c>
      <c r="J110" s="810"/>
      <c r="K110" s="802">
        <v>236110</v>
      </c>
      <c r="L110" s="802">
        <v>200000</v>
      </c>
      <c r="M110" s="825"/>
      <c r="N110" s="825">
        <v>150000</v>
      </c>
      <c r="O110" s="825"/>
      <c r="P110" s="863"/>
    </row>
    <row r="111" spans="1:16">
      <c r="A111" s="836">
        <v>3613</v>
      </c>
      <c r="B111" s="837">
        <v>6121</v>
      </c>
      <c r="C111" s="838" t="s">
        <v>650</v>
      </c>
      <c r="D111" s="839"/>
      <c r="E111" s="839"/>
      <c r="F111" s="839"/>
      <c r="G111" s="839"/>
      <c r="H111" s="839"/>
      <c r="I111" s="840"/>
      <c r="J111" s="841"/>
      <c r="K111" s="840"/>
      <c r="L111" s="840"/>
      <c r="M111" s="842"/>
      <c r="N111" s="842"/>
      <c r="O111" s="842"/>
      <c r="P111" s="901">
        <v>4000000</v>
      </c>
    </row>
    <row r="112" spans="1:16">
      <c r="A112" s="773">
        <v>3631</v>
      </c>
      <c r="B112" s="772">
        <v>5154</v>
      </c>
      <c r="C112" s="785" t="s">
        <v>651</v>
      </c>
      <c r="D112" s="784">
        <v>350000</v>
      </c>
      <c r="E112" s="784">
        <v>350000</v>
      </c>
      <c r="F112" s="784">
        <v>389002</v>
      </c>
      <c r="G112" s="784">
        <v>0</v>
      </c>
      <c r="H112" s="784">
        <f t="shared" si="13"/>
        <v>389002</v>
      </c>
      <c r="I112" s="802">
        <f t="shared" si="15"/>
        <v>389002</v>
      </c>
      <c r="J112" s="810"/>
      <c r="K112" s="802">
        <v>392293</v>
      </c>
      <c r="L112" s="802">
        <v>450000</v>
      </c>
      <c r="M112" s="825">
        <v>600000</v>
      </c>
      <c r="N112" s="825">
        <v>650000</v>
      </c>
      <c r="O112" s="825">
        <v>600000</v>
      </c>
      <c r="P112" s="863">
        <v>1000000</v>
      </c>
    </row>
    <row r="113" spans="1:16">
      <c r="A113" s="773">
        <v>3631</v>
      </c>
      <c r="B113" s="772">
        <v>5171</v>
      </c>
      <c r="C113" s="785" t="s">
        <v>652</v>
      </c>
      <c r="D113" s="784">
        <v>200000</v>
      </c>
      <c r="E113" s="784">
        <v>200000</v>
      </c>
      <c r="F113" s="784">
        <v>121840</v>
      </c>
      <c r="G113" s="784">
        <f t="shared" ref="G113:G145" si="16">E113-F113</f>
        <v>78160</v>
      </c>
      <c r="H113" s="784">
        <f t="shared" si="13"/>
        <v>200000</v>
      </c>
      <c r="I113" s="802">
        <f t="shared" si="15"/>
        <v>200000</v>
      </c>
      <c r="J113" s="810"/>
      <c r="K113" s="802">
        <v>200800</v>
      </c>
      <c r="L113" s="802">
        <v>230000</v>
      </c>
      <c r="M113" s="825">
        <v>200000</v>
      </c>
      <c r="N113" s="825">
        <v>200000</v>
      </c>
      <c r="O113" s="825">
        <v>250000</v>
      </c>
      <c r="P113" s="863">
        <v>2000000</v>
      </c>
    </row>
    <row r="114" spans="1:16">
      <c r="A114" s="836">
        <v>3631</v>
      </c>
      <c r="B114" s="837">
        <v>6121</v>
      </c>
      <c r="C114" s="838" t="s">
        <v>654</v>
      </c>
      <c r="D114" s="839">
        <v>300000</v>
      </c>
      <c r="E114" s="839">
        <v>300000</v>
      </c>
      <c r="F114" s="839"/>
      <c r="G114" s="839">
        <v>0</v>
      </c>
      <c r="H114" s="839">
        <f t="shared" si="13"/>
        <v>0</v>
      </c>
      <c r="I114" s="840" t="e">
        <f>#REF!</f>
        <v>#REF!</v>
      </c>
      <c r="J114" s="841"/>
      <c r="K114" s="840">
        <v>1236834</v>
      </c>
      <c r="L114" s="840">
        <v>0</v>
      </c>
      <c r="M114" s="845"/>
      <c r="N114" s="842">
        <v>5600000</v>
      </c>
      <c r="O114" s="845"/>
      <c r="P114" s="901">
        <v>5600000</v>
      </c>
    </row>
    <row r="115" spans="1:16">
      <c r="A115" s="773">
        <v>3635</v>
      </c>
      <c r="B115" s="772">
        <v>5169</v>
      </c>
      <c r="C115" s="785" t="s">
        <v>656</v>
      </c>
      <c r="D115" s="784"/>
      <c r="E115" s="784">
        <v>120000</v>
      </c>
      <c r="F115" s="784">
        <v>115705</v>
      </c>
      <c r="G115" s="784">
        <f t="shared" si="16"/>
        <v>4295</v>
      </c>
      <c r="H115" s="784">
        <f t="shared" si="13"/>
        <v>120000</v>
      </c>
      <c r="I115" s="802">
        <f>H115</f>
        <v>120000</v>
      </c>
      <c r="J115" s="810"/>
      <c r="K115" s="802">
        <v>148830</v>
      </c>
      <c r="L115" s="802">
        <v>120000</v>
      </c>
      <c r="M115" s="825">
        <v>50000</v>
      </c>
      <c r="N115" s="825">
        <v>50000</v>
      </c>
      <c r="O115" s="825"/>
      <c r="P115" s="863">
        <v>300000</v>
      </c>
    </row>
    <row r="116" spans="1:16">
      <c r="A116" s="773">
        <v>3639</v>
      </c>
      <c r="B116" s="772">
        <v>5169</v>
      </c>
      <c r="C116" s="785" t="s">
        <v>657</v>
      </c>
      <c r="D116" s="784">
        <v>50000</v>
      </c>
      <c r="E116" s="784">
        <v>1316000</v>
      </c>
      <c r="F116" s="784">
        <v>256950</v>
      </c>
      <c r="G116" s="784">
        <f t="shared" si="16"/>
        <v>1059050</v>
      </c>
      <c r="H116" s="784">
        <f t="shared" si="13"/>
        <v>1316000</v>
      </c>
      <c r="I116" s="802">
        <f>H116-700000</f>
        <v>616000</v>
      </c>
      <c r="J116" s="812"/>
      <c r="K116" s="802">
        <v>72480</v>
      </c>
      <c r="L116" s="802">
        <v>200000</v>
      </c>
      <c r="M116" s="825">
        <v>450000</v>
      </c>
      <c r="N116" s="825">
        <v>200000</v>
      </c>
      <c r="O116" s="825">
        <v>250000</v>
      </c>
      <c r="P116" s="863">
        <v>250000</v>
      </c>
    </row>
    <row r="117" spans="1:16" ht="14" thickBot="1">
      <c r="A117" s="836">
        <v>3639</v>
      </c>
      <c r="B117" s="837">
        <v>6122</v>
      </c>
      <c r="C117" s="838" t="s">
        <v>658</v>
      </c>
      <c r="D117" s="839"/>
      <c r="E117" s="839"/>
      <c r="F117" s="839"/>
      <c r="G117" s="839"/>
      <c r="H117" s="839"/>
      <c r="I117" s="840"/>
      <c r="J117" s="841"/>
      <c r="K117" s="840"/>
      <c r="L117" s="848"/>
      <c r="M117" s="842"/>
      <c r="N117" s="842"/>
      <c r="O117" s="842"/>
      <c r="P117" s="901">
        <v>200000</v>
      </c>
    </row>
    <row r="118" spans="1:16" ht="14" thickBot="1">
      <c r="A118" s="836">
        <v>3639</v>
      </c>
      <c r="B118" s="837">
        <v>6121</v>
      </c>
      <c r="C118" s="838" t="s">
        <v>660</v>
      </c>
      <c r="D118" s="839"/>
      <c r="E118" s="839"/>
      <c r="F118" s="839"/>
      <c r="G118" s="839" t="e">
        <f>#REF!</f>
        <v>#REF!</v>
      </c>
      <c r="H118" s="839" t="e">
        <f t="shared" si="13"/>
        <v>#REF!</v>
      </c>
      <c r="I118" s="840"/>
      <c r="J118" s="846"/>
      <c r="K118" s="840"/>
      <c r="L118" s="824" t="e">
        <f>#REF!</f>
        <v>#REF!</v>
      </c>
      <c r="M118" s="845"/>
      <c r="N118" s="845"/>
      <c r="O118" s="842">
        <v>105000</v>
      </c>
      <c r="P118" s="901">
        <v>6000000</v>
      </c>
    </row>
    <row r="119" spans="1:16">
      <c r="A119" s="836">
        <v>3639</v>
      </c>
      <c r="B119" s="837">
        <v>6130</v>
      </c>
      <c r="C119" s="838" t="s">
        <v>661</v>
      </c>
      <c r="D119" s="839"/>
      <c r="E119" s="839"/>
      <c r="F119" s="839"/>
      <c r="G119" s="839"/>
      <c r="H119" s="839"/>
      <c r="I119" s="840"/>
      <c r="J119" s="846"/>
      <c r="K119" s="840">
        <v>1010000</v>
      </c>
      <c r="L119" s="840"/>
      <c r="M119" s="845"/>
      <c r="N119" s="842">
        <v>2000000</v>
      </c>
      <c r="O119" s="842">
        <v>2510000</v>
      </c>
      <c r="P119" s="901">
        <v>10000000</v>
      </c>
    </row>
    <row r="120" spans="1:16">
      <c r="A120" s="773">
        <v>3721</v>
      </c>
      <c r="B120" s="772">
        <v>5169</v>
      </c>
      <c r="C120" s="785" t="s">
        <v>663</v>
      </c>
      <c r="D120" s="784"/>
      <c r="E120" s="784"/>
      <c r="F120" s="784"/>
      <c r="G120" s="784"/>
      <c r="H120" s="784"/>
      <c r="I120" s="802"/>
      <c r="J120" s="810"/>
      <c r="K120" s="802"/>
      <c r="L120" s="802"/>
      <c r="M120" s="825">
        <v>20000</v>
      </c>
      <c r="N120" s="825">
        <v>20000</v>
      </c>
      <c r="O120" s="825">
        <v>40000</v>
      </c>
      <c r="P120" s="863">
        <v>50000</v>
      </c>
    </row>
    <row r="121" spans="1:16">
      <c r="A121" s="773">
        <v>3722</v>
      </c>
      <c r="B121" s="772">
        <v>5169</v>
      </c>
      <c r="C121" s="785" t="s">
        <v>664</v>
      </c>
      <c r="D121" s="784">
        <v>1000000</v>
      </c>
      <c r="E121" s="784">
        <v>1000000</v>
      </c>
      <c r="F121" s="784">
        <v>841076.69</v>
      </c>
      <c r="G121" s="784">
        <f t="shared" si="16"/>
        <v>158923.31000000006</v>
      </c>
      <c r="H121" s="784">
        <f t="shared" si="13"/>
        <v>1000000</v>
      </c>
      <c r="I121" s="802">
        <f>H121+200000</f>
        <v>1200000</v>
      </c>
      <c r="J121" s="810"/>
      <c r="K121" s="802">
        <v>869397</v>
      </c>
      <c r="L121" s="802">
        <v>1320000</v>
      </c>
      <c r="M121" s="825">
        <v>1300000</v>
      </c>
      <c r="N121" s="825">
        <v>1400000</v>
      </c>
      <c r="O121" s="825">
        <v>1700000</v>
      </c>
      <c r="P121" s="863">
        <v>2300000</v>
      </c>
    </row>
    <row r="122" spans="1:16">
      <c r="A122" s="773">
        <v>3725</v>
      </c>
      <c r="B122" s="772">
        <v>5169</v>
      </c>
      <c r="C122" s="785" t="s">
        <v>665</v>
      </c>
      <c r="D122" s="784">
        <v>750000</v>
      </c>
      <c r="E122" s="784">
        <v>750000</v>
      </c>
      <c r="F122" s="784">
        <v>480203.2</v>
      </c>
      <c r="G122" s="784">
        <f t="shared" si="16"/>
        <v>269796.8</v>
      </c>
      <c r="H122" s="784">
        <f t="shared" si="13"/>
        <v>750000</v>
      </c>
      <c r="I122" s="802">
        <f>H122+100000</f>
        <v>850000</v>
      </c>
      <c r="J122" s="810"/>
      <c r="K122" s="802">
        <v>625633</v>
      </c>
      <c r="L122" s="802">
        <v>935000</v>
      </c>
      <c r="M122" s="825">
        <v>900000</v>
      </c>
      <c r="N122" s="825">
        <v>1100000</v>
      </c>
      <c r="O122" s="825">
        <v>1100000</v>
      </c>
      <c r="P122" s="863">
        <v>1500000</v>
      </c>
    </row>
    <row r="123" spans="1:16">
      <c r="A123" s="773">
        <v>3726</v>
      </c>
      <c r="B123" s="772">
        <v>5169</v>
      </c>
      <c r="C123" s="785" t="s">
        <v>666</v>
      </c>
      <c r="D123" s="784">
        <v>260000</v>
      </c>
      <c r="E123" s="784">
        <v>260000</v>
      </c>
      <c r="F123" s="784">
        <v>88985.3</v>
      </c>
      <c r="G123" s="784">
        <f t="shared" si="16"/>
        <v>171014.7</v>
      </c>
      <c r="H123" s="784">
        <f t="shared" si="13"/>
        <v>260000</v>
      </c>
      <c r="I123" s="802">
        <f t="shared" ref="I123:I128" si="17">H123</f>
        <v>260000</v>
      </c>
      <c r="J123" s="810"/>
      <c r="K123" s="802">
        <v>169942</v>
      </c>
      <c r="L123" s="802">
        <v>260000</v>
      </c>
      <c r="M123" s="825">
        <v>260000</v>
      </c>
      <c r="N123" s="825">
        <v>330000</v>
      </c>
      <c r="O123" s="825">
        <v>400000</v>
      </c>
      <c r="P123" s="863">
        <v>500000</v>
      </c>
    </row>
    <row r="124" spans="1:16">
      <c r="A124" s="773">
        <v>3729</v>
      </c>
      <c r="B124" s="772">
        <v>5169</v>
      </c>
      <c r="C124" s="785" t="s">
        <v>667</v>
      </c>
      <c r="D124" s="784">
        <v>90000</v>
      </c>
      <c r="E124" s="784">
        <v>90000</v>
      </c>
      <c r="F124" s="784">
        <v>64725.53</v>
      </c>
      <c r="G124" s="784">
        <f t="shared" si="16"/>
        <v>25274.47</v>
      </c>
      <c r="H124" s="784">
        <f t="shared" si="13"/>
        <v>90000</v>
      </c>
      <c r="I124" s="802">
        <f t="shared" si="17"/>
        <v>90000</v>
      </c>
      <c r="J124" s="810"/>
      <c r="K124" s="802">
        <v>79582</v>
      </c>
      <c r="L124" s="802">
        <v>120000</v>
      </c>
      <c r="M124" s="825">
        <v>80000</v>
      </c>
      <c r="N124" s="825">
        <v>130000</v>
      </c>
      <c r="O124" s="825">
        <v>130000</v>
      </c>
      <c r="P124" s="863">
        <v>150000</v>
      </c>
    </row>
    <row r="125" spans="1:16">
      <c r="A125" s="773">
        <v>3745</v>
      </c>
      <c r="B125" s="772">
        <v>5137</v>
      </c>
      <c r="C125" s="785" t="s">
        <v>668</v>
      </c>
      <c r="D125" s="784"/>
      <c r="E125" s="784"/>
      <c r="F125" s="784">
        <v>35398</v>
      </c>
      <c r="G125" s="784">
        <v>0</v>
      </c>
      <c r="H125" s="784">
        <f t="shared" si="13"/>
        <v>35398</v>
      </c>
      <c r="I125" s="802">
        <f t="shared" si="17"/>
        <v>35398</v>
      </c>
      <c r="J125" s="810"/>
      <c r="K125" s="802">
        <v>39188</v>
      </c>
      <c r="L125" s="802"/>
      <c r="M125" s="825"/>
      <c r="N125" s="825"/>
      <c r="O125" s="825">
        <v>101000</v>
      </c>
      <c r="P125" s="863">
        <v>150000</v>
      </c>
    </row>
    <row r="126" spans="1:16">
      <c r="A126" s="773">
        <v>3745</v>
      </c>
      <c r="B126" s="772">
        <v>5139</v>
      </c>
      <c r="C126" s="785" t="s">
        <v>669</v>
      </c>
      <c r="D126" s="784">
        <v>50000</v>
      </c>
      <c r="E126" s="784">
        <v>50000</v>
      </c>
      <c r="F126" s="784">
        <v>82029.990000000005</v>
      </c>
      <c r="G126" s="784">
        <v>0</v>
      </c>
      <c r="H126" s="784">
        <f t="shared" si="13"/>
        <v>82029.990000000005</v>
      </c>
      <c r="I126" s="802">
        <f t="shared" si="17"/>
        <v>82029.990000000005</v>
      </c>
      <c r="J126" s="810"/>
      <c r="K126" s="802">
        <v>48372</v>
      </c>
      <c r="L126" s="802">
        <v>80000</v>
      </c>
      <c r="M126" s="825">
        <v>30000</v>
      </c>
      <c r="N126" s="825">
        <v>50000</v>
      </c>
      <c r="O126" s="825">
        <v>70000</v>
      </c>
      <c r="P126" s="863">
        <v>80000</v>
      </c>
    </row>
    <row r="127" spans="1:16">
      <c r="A127" s="773">
        <v>3745</v>
      </c>
      <c r="B127" s="772">
        <v>5156</v>
      </c>
      <c r="C127" s="785" t="s">
        <v>670</v>
      </c>
      <c r="D127" s="784">
        <v>50000</v>
      </c>
      <c r="E127" s="784">
        <v>50000</v>
      </c>
      <c r="F127" s="784">
        <v>36848</v>
      </c>
      <c r="G127" s="784">
        <f t="shared" si="16"/>
        <v>13152</v>
      </c>
      <c r="H127" s="784">
        <f t="shared" si="13"/>
        <v>50000</v>
      </c>
      <c r="I127" s="802">
        <f t="shared" si="17"/>
        <v>50000</v>
      </c>
      <c r="J127" s="810"/>
      <c r="K127" s="802">
        <v>45873</v>
      </c>
      <c r="L127" s="802">
        <v>50000</v>
      </c>
      <c r="M127" s="825">
        <v>90000</v>
      </c>
      <c r="N127" s="825">
        <v>90000</v>
      </c>
      <c r="O127" s="825">
        <v>90000</v>
      </c>
      <c r="P127" s="863">
        <v>90000</v>
      </c>
    </row>
    <row r="128" spans="1:16">
      <c r="A128" s="773">
        <v>3745</v>
      </c>
      <c r="B128" s="772">
        <v>5169</v>
      </c>
      <c r="C128" s="785" t="s">
        <v>648</v>
      </c>
      <c r="D128" s="784"/>
      <c r="E128" s="784">
        <v>130000</v>
      </c>
      <c r="F128" s="784">
        <v>900</v>
      </c>
      <c r="G128" s="784">
        <f t="shared" si="16"/>
        <v>129100</v>
      </c>
      <c r="H128" s="784">
        <f t="shared" si="13"/>
        <v>130000</v>
      </c>
      <c r="I128" s="802">
        <f t="shared" si="17"/>
        <v>130000</v>
      </c>
      <c r="J128" s="810"/>
      <c r="K128" s="802">
        <v>189196</v>
      </c>
      <c r="L128" s="802"/>
      <c r="M128" s="825"/>
      <c r="N128" s="825">
        <v>900000</v>
      </c>
      <c r="O128" s="825">
        <v>400000</v>
      </c>
      <c r="P128" s="863">
        <v>500000</v>
      </c>
    </row>
    <row r="129" spans="1:16">
      <c r="A129" s="773">
        <v>3745</v>
      </c>
      <c r="B129" s="799">
        <v>5171</v>
      </c>
      <c r="C129" s="785" t="s">
        <v>671</v>
      </c>
      <c r="D129" s="784"/>
      <c r="E129" s="784"/>
      <c r="F129" s="784"/>
      <c r="G129" s="784" t="e">
        <f>#REF!</f>
        <v>#REF!</v>
      </c>
      <c r="H129" s="784" t="e">
        <f>G129+F129</f>
        <v>#REF!</v>
      </c>
      <c r="I129" s="802" t="e">
        <f>#REF!</f>
        <v>#REF!</v>
      </c>
      <c r="J129" s="810"/>
      <c r="K129" s="802"/>
      <c r="L129" s="802" t="e">
        <f>#REF!</f>
        <v>#REF!</v>
      </c>
      <c r="M129" s="825"/>
      <c r="N129" s="825">
        <v>765000</v>
      </c>
      <c r="O129" s="825">
        <v>500000</v>
      </c>
      <c r="P129" s="863">
        <v>700000</v>
      </c>
    </row>
    <row r="130" spans="1:16">
      <c r="A130" s="836">
        <v>3745</v>
      </c>
      <c r="B130" s="837">
        <v>6121</v>
      </c>
      <c r="C130" s="838" t="s">
        <v>672</v>
      </c>
      <c r="D130" s="839">
        <v>50000</v>
      </c>
      <c r="E130" s="839">
        <v>50000</v>
      </c>
      <c r="F130" s="839"/>
      <c r="G130" s="839" t="e">
        <f>#REF!</f>
        <v>#REF!</v>
      </c>
      <c r="H130" s="839" t="e">
        <f t="shared" ref="H130:H179" si="18">G130+F130</f>
        <v>#REF!</v>
      </c>
      <c r="I130" s="840" t="e">
        <f>#REF!</f>
        <v>#REF!</v>
      </c>
      <c r="J130" s="847">
        <v>-2000000</v>
      </c>
      <c r="K130" s="840"/>
      <c r="L130" s="840">
        <v>1111000</v>
      </c>
      <c r="M130" s="845"/>
      <c r="N130" s="845"/>
      <c r="O130" s="845"/>
      <c r="P130" s="901">
        <v>1080000</v>
      </c>
    </row>
    <row r="131" spans="1:16">
      <c r="A131" s="836">
        <v>3745</v>
      </c>
      <c r="B131" s="837">
        <v>6122</v>
      </c>
      <c r="C131" s="838" t="s">
        <v>674</v>
      </c>
      <c r="D131" s="839">
        <v>600000</v>
      </c>
      <c r="E131" s="839">
        <v>300000</v>
      </c>
      <c r="F131" s="839"/>
      <c r="G131" s="839" t="e">
        <f>#REF!</f>
        <v>#REF!</v>
      </c>
      <c r="H131" s="839" t="e">
        <f t="shared" si="18"/>
        <v>#REF!</v>
      </c>
      <c r="I131" s="840" t="e">
        <f>#REF!</f>
        <v>#REF!</v>
      </c>
      <c r="J131" s="841"/>
      <c r="K131" s="840"/>
      <c r="L131" s="840"/>
      <c r="M131" s="845"/>
      <c r="N131" s="845"/>
      <c r="O131" s="845"/>
      <c r="P131" s="983">
        <v>250000</v>
      </c>
    </row>
    <row r="132" spans="1:16">
      <c r="A132" s="773">
        <v>4349</v>
      </c>
      <c r="B132" s="772">
        <v>5169</v>
      </c>
      <c r="C132" s="785" t="s">
        <v>1214</v>
      </c>
      <c r="D132" s="784"/>
      <c r="E132" s="784"/>
      <c r="F132" s="784"/>
      <c r="G132" s="784"/>
      <c r="H132" s="784"/>
      <c r="I132" s="802"/>
      <c r="J132" s="810"/>
      <c r="K132" s="802"/>
      <c r="L132" s="802"/>
      <c r="M132" s="825"/>
      <c r="N132" s="825"/>
      <c r="O132" s="825">
        <v>100000</v>
      </c>
      <c r="P132" s="863">
        <v>100000</v>
      </c>
    </row>
    <row r="133" spans="1:16">
      <c r="A133" s="773">
        <v>5299</v>
      </c>
      <c r="B133" s="772">
        <v>5139</v>
      </c>
      <c r="C133" s="785" t="s">
        <v>643</v>
      </c>
      <c r="D133" s="784"/>
      <c r="E133" s="784">
        <v>20000</v>
      </c>
      <c r="F133" s="784">
        <v>6670</v>
      </c>
      <c r="G133" s="784">
        <f t="shared" si="16"/>
        <v>13330</v>
      </c>
      <c r="H133" s="784">
        <f t="shared" si="18"/>
        <v>20000</v>
      </c>
      <c r="I133" s="802">
        <f t="shared" ref="I133:I139" si="19">H133</f>
        <v>20000</v>
      </c>
      <c r="J133" s="810"/>
      <c r="K133" s="802">
        <v>8409</v>
      </c>
      <c r="L133" s="802">
        <v>10000</v>
      </c>
      <c r="M133" s="825">
        <v>10000</v>
      </c>
      <c r="N133" s="825">
        <v>10000</v>
      </c>
      <c r="O133" s="825"/>
      <c r="P133" s="863">
        <v>10000</v>
      </c>
    </row>
    <row r="134" spans="1:16">
      <c r="A134" s="773">
        <v>5512</v>
      </c>
      <c r="B134" s="772">
        <v>5137</v>
      </c>
      <c r="C134" s="785" t="s">
        <v>676</v>
      </c>
      <c r="D134" s="784">
        <v>30000</v>
      </c>
      <c r="E134" s="784">
        <v>30000</v>
      </c>
      <c r="F134" s="784"/>
      <c r="G134" s="784">
        <f t="shared" si="16"/>
        <v>30000</v>
      </c>
      <c r="H134" s="784">
        <f t="shared" si="18"/>
        <v>30000</v>
      </c>
      <c r="I134" s="802">
        <f t="shared" si="19"/>
        <v>30000</v>
      </c>
      <c r="J134" s="810"/>
      <c r="K134" s="802"/>
      <c r="L134" s="802">
        <v>15000</v>
      </c>
      <c r="M134" s="825"/>
      <c r="N134" s="825">
        <v>20000</v>
      </c>
      <c r="O134" s="825">
        <v>652800</v>
      </c>
      <c r="P134" s="863">
        <v>300000</v>
      </c>
    </row>
    <row r="135" spans="1:16">
      <c r="A135" s="773">
        <v>5512</v>
      </c>
      <c r="B135" s="772">
        <v>5139</v>
      </c>
      <c r="C135" s="785" t="s">
        <v>677</v>
      </c>
      <c r="D135" s="784">
        <v>5000</v>
      </c>
      <c r="E135" s="784">
        <v>5000</v>
      </c>
      <c r="F135" s="784">
        <v>3948</v>
      </c>
      <c r="G135" s="784">
        <f t="shared" si="16"/>
        <v>1052</v>
      </c>
      <c r="H135" s="784">
        <f t="shared" si="18"/>
        <v>5000</v>
      </c>
      <c r="I135" s="802">
        <f t="shared" si="19"/>
        <v>5000</v>
      </c>
      <c r="J135" s="810"/>
      <c r="K135" s="802"/>
      <c r="L135" s="802">
        <v>5000</v>
      </c>
      <c r="M135" s="825">
        <v>20000</v>
      </c>
      <c r="N135" s="825">
        <v>20000</v>
      </c>
      <c r="O135" s="825">
        <v>5000</v>
      </c>
      <c r="P135" s="863">
        <v>20000</v>
      </c>
    </row>
    <row r="136" spans="1:16">
      <c r="A136" s="773">
        <v>5512</v>
      </c>
      <c r="B136" s="772">
        <v>5156</v>
      </c>
      <c r="C136" s="785" t="s">
        <v>678</v>
      </c>
      <c r="D136" s="784">
        <v>2000</v>
      </c>
      <c r="E136" s="784">
        <v>2000</v>
      </c>
      <c r="F136" s="784">
        <v>1150</v>
      </c>
      <c r="G136" s="784">
        <f t="shared" si="16"/>
        <v>850</v>
      </c>
      <c r="H136" s="784">
        <f t="shared" si="18"/>
        <v>2000</v>
      </c>
      <c r="I136" s="802">
        <f t="shared" si="19"/>
        <v>2000</v>
      </c>
      <c r="J136" s="810"/>
      <c r="K136" s="802">
        <v>2062</v>
      </c>
      <c r="L136" s="802">
        <v>2000</v>
      </c>
      <c r="M136" s="825">
        <v>6000</v>
      </c>
      <c r="N136" s="825">
        <v>5000</v>
      </c>
      <c r="O136" s="825">
        <v>5000</v>
      </c>
      <c r="P136" s="863">
        <v>6000</v>
      </c>
    </row>
    <row r="137" spans="1:16">
      <c r="A137" s="773">
        <v>5512</v>
      </c>
      <c r="B137" s="772">
        <v>5163</v>
      </c>
      <c r="C137" s="785" t="s">
        <v>679</v>
      </c>
      <c r="D137" s="784">
        <v>2400</v>
      </c>
      <c r="E137" s="784">
        <v>2400</v>
      </c>
      <c r="F137" s="784">
        <v>2329</v>
      </c>
      <c r="G137" s="784">
        <f t="shared" si="16"/>
        <v>71</v>
      </c>
      <c r="H137" s="784">
        <f t="shared" si="18"/>
        <v>2400</v>
      </c>
      <c r="I137" s="802">
        <f t="shared" si="19"/>
        <v>2400</v>
      </c>
      <c r="J137" s="810"/>
      <c r="K137" s="802">
        <v>2329</v>
      </c>
      <c r="L137" s="802">
        <v>2400</v>
      </c>
      <c r="M137" s="825">
        <v>2400</v>
      </c>
      <c r="N137" s="825">
        <v>2400</v>
      </c>
      <c r="O137" s="825">
        <v>2400</v>
      </c>
      <c r="P137" s="863">
        <v>3000</v>
      </c>
    </row>
    <row r="138" spans="1:16">
      <c r="A138" s="773">
        <v>5512</v>
      </c>
      <c r="B138" s="772">
        <v>5167</v>
      </c>
      <c r="C138" s="785" t="s">
        <v>680</v>
      </c>
      <c r="D138" s="784">
        <v>5000</v>
      </c>
      <c r="E138" s="784">
        <v>5000</v>
      </c>
      <c r="F138" s="784"/>
      <c r="G138" s="784">
        <f t="shared" si="16"/>
        <v>5000</v>
      </c>
      <c r="H138" s="784">
        <f t="shared" si="18"/>
        <v>5000</v>
      </c>
      <c r="I138" s="802">
        <f t="shared" si="19"/>
        <v>5000</v>
      </c>
      <c r="J138" s="810"/>
      <c r="K138" s="802"/>
      <c r="L138" s="802">
        <v>5000</v>
      </c>
      <c r="M138" s="825"/>
      <c r="N138" s="825">
        <v>5000</v>
      </c>
      <c r="O138" s="825"/>
      <c r="P138" s="863">
        <v>30000</v>
      </c>
    </row>
    <row r="139" spans="1:16">
      <c r="A139" s="773">
        <v>5512</v>
      </c>
      <c r="B139" s="772">
        <v>5171</v>
      </c>
      <c r="C139" s="785" t="s">
        <v>681</v>
      </c>
      <c r="D139" s="784">
        <v>5000</v>
      </c>
      <c r="E139" s="784">
        <v>5000</v>
      </c>
      <c r="F139" s="784"/>
      <c r="G139" s="784">
        <f t="shared" si="16"/>
        <v>5000</v>
      </c>
      <c r="H139" s="784">
        <f t="shared" si="18"/>
        <v>5000</v>
      </c>
      <c r="I139" s="802">
        <f t="shared" si="19"/>
        <v>5000</v>
      </c>
      <c r="J139" s="810"/>
      <c r="K139" s="802">
        <v>3422</v>
      </c>
      <c r="L139" s="802">
        <v>5000</v>
      </c>
      <c r="M139" s="825">
        <v>25000</v>
      </c>
      <c r="N139" s="825">
        <v>20000</v>
      </c>
      <c r="O139" s="825"/>
      <c r="P139" s="863">
        <v>50000</v>
      </c>
    </row>
    <row r="140" spans="1:16">
      <c r="A140" s="773">
        <v>5512</v>
      </c>
      <c r="B140" s="772">
        <v>5222</v>
      </c>
      <c r="C140" s="785" t="s">
        <v>682</v>
      </c>
      <c r="D140" s="784"/>
      <c r="E140" s="784"/>
      <c r="F140" s="784"/>
      <c r="G140" s="784"/>
      <c r="H140" s="784"/>
      <c r="I140" s="802"/>
      <c r="J140" s="810"/>
      <c r="K140" s="802"/>
      <c r="L140" s="802"/>
      <c r="M140" s="825"/>
      <c r="N140" s="825"/>
      <c r="O140" s="825">
        <v>20000</v>
      </c>
      <c r="P140" s="863">
        <v>40000</v>
      </c>
    </row>
    <row r="141" spans="1:16">
      <c r="A141" s="836">
        <v>5512</v>
      </c>
      <c r="B141" s="837">
        <v>6121</v>
      </c>
      <c r="C141" s="838" t="s">
        <v>683</v>
      </c>
      <c r="D141" s="839"/>
      <c r="E141" s="839"/>
      <c r="F141" s="839"/>
      <c r="G141" s="839" t="e">
        <f>#REF!</f>
        <v>#REF!</v>
      </c>
      <c r="H141" s="839" t="e">
        <f t="shared" si="18"/>
        <v>#REF!</v>
      </c>
      <c r="I141" s="840" t="e">
        <f>#REF!</f>
        <v>#REF!</v>
      </c>
      <c r="J141" s="841"/>
      <c r="K141" s="840"/>
      <c r="L141" s="840"/>
      <c r="M141" s="842"/>
      <c r="N141" s="842"/>
      <c r="O141" s="842"/>
      <c r="P141" s="901">
        <v>500000</v>
      </c>
    </row>
    <row r="142" spans="1:16">
      <c r="A142" s="773">
        <v>6112</v>
      </c>
      <c r="B142" s="772">
        <v>5023</v>
      </c>
      <c r="C142" s="785" t="s">
        <v>685</v>
      </c>
      <c r="D142" s="784">
        <f>1400000+150000</f>
        <v>1550000</v>
      </c>
      <c r="E142" s="784">
        <v>1550000</v>
      </c>
      <c r="F142" s="784">
        <v>1149263</v>
      </c>
      <c r="G142" s="784">
        <f t="shared" si="16"/>
        <v>400737</v>
      </c>
      <c r="H142" s="784">
        <f t="shared" si="18"/>
        <v>1550000</v>
      </c>
      <c r="I142" s="802">
        <f t="shared" ref="I142:I168" si="20">H142</f>
        <v>1550000</v>
      </c>
      <c r="J142" s="810"/>
      <c r="K142" s="802">
        <v>1267163</v>
      </c>
      <c r="L142" s="802">
        <v>1550000</v>
      </c>
      <c r="M142" s="825">
        <v>1800000</v>
      </c>
      <c r="N142" s="825">
        <v>1760000</v>
      </c>
      <c r="O142" s="825">
        <v>1760000</v>
      </c>
      <c r="P142" s="863">
        <v>2100000</v>
      </c>
    </row>
    <row r="143" spans="1:16" hidden="1">
      <c r="A143" s="773">
        <v>6112</v>
      </c>
      <c r="B143" s="772">
        <v>5026</v>
      </c>
      <c r="C143" s="785" t="s">
        <v>687</v>
      </c>
      <c r="D143" s="784"/>
      <c r="E143" s="784"/>
      <c r="F143" s="784"/>
      <c r="G143" s="784"/>
      <c r="H143" s="784"/>
      <c r="I143" s="802"/>
      <c r="J143" s="810"/>
      <c r="K143" s="802"/>
      <c r="L143" s="802"/>
      <c r="M143" s="825"/>
      <c r="N143" s="825"/>
      <c r="O143" s="825">
        <v>340000</v>
      </c>
      <c r="P143" s="863"/>
    </row>
    <row r="144" spans="1:16" hidden="1">
      <c r="A144" s="773">
        <v>6112</v>
      </c>
      <c r="B144" s="772">
        <v>5031</v>
      </c>
      <c r="C144" s="785" t="s">
        <v>688</v>
      </c>
      <c r="D144" s="784">
        <v>270000</v>
      </c>
      <c r="E144" s="784">
        <v>270000</v>
      </c>
      <c r="F144" s="784">
        <v>222151</v>
      </c>
      <c r="G144" s="784">
        <f t="shared" si="16"/>
        <v>47849</v>
      </c>
      <c r="H144" s="784">
        <f t="shared" si="18"/>
        <v>270000</v>
      </c>
      <c r="I144" s="802">
        <f t="shared" si="20"/>
        <v>270000</v>
      </c>
      <c r="J144" s="810"/>
      <c r="K144" s="802">
        <v>252558</v>
      </c>
      <c r="L144" s="802">
        <v>270000</v>
      </c>
      <c r="M144" s="825">
        <v>300000</v>
      </c>
      <c r="N144" s="825">
        <v>330000</v>
      </c>
      <c r="O144" s="825">
        <v>250000</v>
      </c>
      <c r="P144" s="863"/>
    </row>
    <row r="145" spans="1:16">
      <c r="A145" s="773">
        <v>6112</v>
      </c>
      <c r="B145" s="772">
        <v>5032</v>
      </c>
      <c r="C145" s="785" t="s">
        <v>689</v>
      </c>
      <c r="D145" s="784">
        <v>125000</v>
      </c>
      <c r="E145" s="784">
        <v>125000</v>
      </c>
      <c r="F145" s="784">
        <v>100555</v>
      </c>
      <c r="G145" s="784">
        <f t="shared" si="16"/>
        <v>24445</v>
      </c>
      <c r="H145" s="784">
        <f t="shared" si="18"/>
        <v>125000</v>
      </c>
      <c r="I145" s="802">
        <f t="shared" si="20"/>
        <v>125000</v>
      </c>
      <c r="J145" s="810"/>
      <c r="K145" s="802">
        <v>115047</v>
      </c>
      <c r="L145" s="802">
        <v>125000</v>
      </c>
      <c r="M145" s="825">
        <v>150000</v>
      </c>
      <c r="N145" s="825">
        <v>165000</v>
      </c>
      <c r="O145" s="825">
        <v>165000</v>
      </c>
      <c r="P145" s="863">
        <v>190000</v>
      </c>
    </row>
    <row r="146" spans="1:16" hidden="1">
      <c r="A146" s="773" t="s">
        <v>690</v>
      </c>
      <c r="B146" s="772">
        <v>5021</v>
      </c>
      <c r="C146" s="785" t="s">
        <v>691</v>
      </c>
      <c r="D146" s="784"/>
      <c r="E146" s="784"/>
      <c r="F146" s="784">
        <v>8851.15</v>
      </c>
      <c r="G146" s="784">
        <v>0</v>
      </c>
      <c r="H146" s="784">
        <f t="shared" si="18"/>
        <v>8851.15</v>
      </c>
      <c r="I146" s="802">
        <f t="shared" si="20"/>
        <v>8851.15</v>
      </c>
      <c r="J146" s="810">
        <v>-8851</v>
      </c>
      <c r="K146" s="802"/>
      <c r="L146" s="802"/>
      <c r="M146" s="825"/>
      <c r="N146" s="825"/>
      <c r="O146" s="825">
        <f>8929+35504</f>
        <v>44433</v>
      </c>
      <c r="P146" s="863"/>
    </row>
    <row r="147" spans="1:16" hidden="1">
      <c r="A147" s="773" t="s">
        <v>690</v>
      </c>
      <c r="B147" s="772">
        <v>5175</v>
      </c>
      <c r="C147" s="785" t="s">
        <v>692</v>
      </c>
      <c r="D147" s="784"/>
      <c r="E147" s="784"/>
      <c r="F147" s="784"/>
      <c r="G147" s="784"/>
      <c r="H147" s="784"/>
      <c r="I147" s="802"/>
      <c r="J147" s="810"/>
      <c r="K147" s="802"/>
      <c r="L147" s="802"/>
      <c r="M147" s="825"/>
      <c r="N147" s="825"/>
      <c r="O147" s="825">
        <f>1266+3096</f>
        <v>4362</v>
      </c>
      <c r="P147" s="863"/>
    </row>
    <row r="148" spans="1:16">
      <c r="A148" s="773">
        <v>6171</v>
      </c>
      <c r="B148" s="772">
        <v>5011</v>
      </c>
      <c r="C148" s="785" t="s">
        <v>693</v>
      </c>
      <c r="D148" s="784">
        <v>400000</v>
      </c>
      <c r="E148" s="784">
        <v>700000</v>
      </c>
      <c r="F148" s="784">
        <v>582730</v>
      </c>
      <c r="G148" s="784">
        <f t="shared" ref="G148:G179" si="21">E148-F148</f>
        <v>117270</v>
      </c>
      <c r="H148" s="784">
        <f t="shared" si="18"/>
        <v>700000</v>
      </c>
      <c r="I148" s="802">
        <f t="shared" si="20"/>
        <v>700000</v>
      </c>
      <c r="J148" s="810"/>
      <c r="K148" s="802">
        <v>679093</v>
      </c>
      <c r="L148" s="802">
        <v>750000</v>
      </c>
      <c r="M148" s="825">
        <v>900000</v>
      </c>
      <c r="N148" s="825">
        <v>1000000</v>
      </c>
      <c r="O148" s="825">
        <v>1100000</v>
      </c>
      <c r="P148" s="863">
        <v>2500000</v>
      </c>
    </row>
    <row r="149" spans="1:16">
      <c r="A149" s="773">
        <v>6171</v>
      </c>
      <c r="B149" s="772">
        <v>5021</v>
      </c>
      <c r="C149" s="785" t="s">
        <v>694</v>
      </c>
      <c r="D149" s="784">
        <v>60000</v>
      </c>
      <c r="E149" s="784">
        <v>60000</v>
      </c>
      <c r="F149" s="784">
        <v>36445</v>
      </c>
      <c r="G149" s="784">
        <f t="shared" si="21"/>
        <v>23555</v>
      </c>
      <c r="H149" s="784">
        <f t="shared" si="18"/>
        <v>60000</v>
      </c>
      <c r="I149" s="802">
        <f t="shared" si="20"/>
        <v>60000</v>
      </c>
      <c r="J149" s="810"/>
      <c r="K149" s="802">
        <v>70573</v>
      </c>
      <c r="L149" s="802">
        <v>90000</v>
      </c>
      <c r="M149" s="825">
        <v>120000</v>
      </c>
      <c r="N149" s="825">
        <v>120000</v>
      </c>
      <c r="O149" s="825">
        <v>200000</v>
      </c>
      <c r="P149" s="863">
        <v>220000</v>
      </c>
    </row>
    <row r="150" spans="1:16">
      <c r="A150" s="773">
        <v>6171</v>
      </c>
      <c r="B150" s="772">
        <v>5031</v>
      </c>
      <c r="C150" s="785" t="s">
        <v>695</v>
      </c>
      <c r="D150" s="784">
        <v>120000</v>
      </c>
      <c r="E150" s="784">
        <v>120000</v>
      </c>
      <c r="F150" s="784">
        <v>144340</v>
      </c>
      <c r="G150" s="784">
        <f>0.25*G148</f>
        <v>29317.5</v>
      </c>
      <c r="H150" s="784">
        <f t="shared" si="18"/>
        <v>173657.5</v>
      </c>
      <c r="I150" s="802">
        <f t="shared" si="20"/>
        <v>173657.5</v>
      </c>
      <c r="J150" s="810"/>
      <c r="K150" s="802">
        <v>180934</v>
      </c>
      <c r="L150" s="802">
        <v>200000</v>
      </c>
      <c r="M150" s="825">
        <v>250000</v>
      </c>
      <c r="N150" s="825">
        <v>250000</v>
      </c>
      <c r="O150" s="825">
        <v>300000</v>
      </c>
      <c r="P150" s="863">
        <v>620000</v>
      </c>
    </row>
    <row r="151" spans="1:16">
      <c r="A151" s="773">
        <v>6171</v>
      </c>
      <c r="B151" s="772">
        <v>5032</v>
      </c>
      <c r="C151" s="785" t="s">
        <v>696</v>
      </c>
      <c r="D151" s="784">
        <v>40000</v>
      </c>
      <c r="E151" s="784">
        <v>40000</v>
      </c>
      <c r="F151" s="784">
        <v>52351</v>
      </c>
      <c r="G151" s="784">
        <f>0.1*G148</f>
        <v>11727</v>
      </c>
      <c r="H151" s="784">
        <f t="shared" si="18"/>
        <v>64078</v>
      </c>
      <c r="I151" s="802">
        <f t="shared" si="20"/>
        <v>64078</v>
      </c>
      <c r="J151" s="810"/>
      <c r="K151" s="802">
        <v>65662</v>
      </c>
      <c r="L151" s="802">
        <v>80000</v>
      </c>
      <c r="M151" s="825">
        <v>90000</v>
      </c>
      <c r="N151" s="825">
        <v>125000</v>
      </c>
      <c r="O151" s="825">
        <v>125000</v>
      </c>
      <c r="P151" s="863">
        <v>225000</v>
      </c>
    </row>
    <row r="152" spans="1:16">
      <c r="A152" s="773">
        <v>6171</v>
      </c>
      <c r="B152" s="772">
        <v>5038</v>
      </c>
      <c r="C152" s="785" t="s">
        <v>697</v>
      </c>
      <c r="D152" s="784">
        <v>1000</v>
      </c>
      <c r="E152" s="784">
        <v>1000</v>
      </c>
      <c r="F152" s="784">
        <v>279</v>
      </c>
      <c r="G152" s="784">
        <f t="shared" si="21"/>
        <v>721</v>
      </c>
      <c r="H152" s="784">
        <f t="shared" si="18"/>
        <v>1000</v>
      </c>
      <c r="I152" s="802">
        <f t="shared" si="20"/>
        <v>1000</v>
      </c>
      <c r="J152" s="810"/>
      <c r="K152" s="802">
        <v>473</v>
      </c>
      <c r="L152" s="802">
        <v>1000</v>
      </c>
      <c r="M152" s="825">
        <v>1000</v>
      </c>
      <c r="N152" s="825">
        <v>1000</v>
      </c>
      <c r="O152" s="825">
        <v>1000</v>
      </c>
      <c r="P152" s="863">
        <v>5000</v>
      </c>
    </row>
    <row r="153" spans="1:16">
      <c r="A153" s="773">
        <v>6171</v>
      </c>
      <c r="B153" s="772">
        <v>5137</v>
      </c>
      <c r="C153" s="785" t="s">
        <v>698</v>
      </c>
      <c r="D153" s="784">
        <v>20000</v>
      </c>
      <c r="E153" s="784">
        <v>45000</v>
      </c>
      <c r="F153" s="784">
        <v>41317.78</v>
      </c>
      <c r="G153" s="784">
        <f t="shared" si="21"/>
        <v>3682.2200000000012</v>
      </c>
      <c r="H153" s="784">
        <f t="shared" si="18"/>
        <v>45000</v>
      </c>
      <c r="I153" s="802">
        <f t="shared" si="20"/>
        <v>45000</v>
      </c>
      <c r="J153" s="810"/>
      <c r="K153" s="802"/>
      <c r="L153" s="802"/>
      <c r="M153" s="825"/>
      <c r="N153" s="825">
        <v>100000</v>
      </c>
      <c r="O153" s="825">
        <v>100000</v>
      </c>
      <c r="P153" s="863">
        <v>100000</v>
      </c>
    </row>
    <row r="154" spans="1:16">
      <c r="A154" s="773">
        <v>6171</v>
      </c>
      <c r="B154" s="772">
        <v>5139</v>
      </c>
      <c r="C154" s="785" t="s">
        <v>699</v>
      </c>
      <c r="D154" s="784">
        <v>45000</v>
      </c>
      <c r="E154" s="784">
        <v>85000</v>
      </c>
      <c r="F154" s="784">
        <v>98068.03</v>
      </c>
      <c r="G154" s="784">
        <f>100000-F154</f>
        <v>1931.9700000000012</v>
      </c>
      <c r="H154" s="784">
        <f t="shared" si="18"/>
        <v>100000</v>
      </c>
      <c r="I154" s="802">
        <f t="shared" si="20"/>
        <v>100000</v>
      </c>
      <c r="J154" s="810"/>
      <c r="K154" s="802">
        <v>101131</v>
      </c>
      <c r="L154" s="802">
        <v>110000</v>
      </c>
      <c r="M154" s="825">
        <v>50000</v>
      </c>
      <c r="N154" s="825">
        <v>100000</v>
      </c>
      <c r="O154" s="825">
        <v>130000</v>
      </c>
      <c r="P154" s="863">
        <v>150000</v>
      </c>
    </row>
    <row r="155" spans="1:16">
      <c r="A155" s="773">
        <v>6171</v>
      </c>
      <c r="B155" s="772">
        <v>5151</v>
      </c>
      <c r="C155" s="785" t="s">
        <v>700</v>
      </c>
      <c r="D155" s="784">
        <v>1000</v>
      </c>
      <c r="E155" s="784">
        <v>1600</v>
      </c>
      <c r="F155" s="784">
        <v>1327</v>
      </c>
      <c r="G155" s="784">
        <f t="shared" si="21"/>
        <v>273</v>
      </c>
      <c r="H155" s="784">
        <f t="shared" si="18"/>
        <v>1600</v>
      </c>
      <c r="I155" s="802">
        <f t="shared" si="20"/>
        <v>1600</v>
      </c>
      <c r="J155" s="810"/>
      <c r="K155" s="802"/>
      <c r="L155" s="802">
        <v>1600</v>
      </c>
      <c r="M155" s="825">
        <v>4000</v>
      </c>
      <c r="N155" s="825">
        <v>5000</v>
      </c>
      <c r="O155" s="825">
        <v>15000</v>
      </c>
      <c r="P155" s="863">
        <v>15000</v>
      </c>
    </row>
    <row r="156" spans="1:16">
      <c r="A156" s="773">
        <v>6171</v>
      </c>
      <c r="B156" s="772">
        <v>5153</v>
      </c>
      <c r="C156" s="785" t="s">
        <v>701</v>
      </c>
      <c r="D156" s="784">
        <v>40000</v>
      </c>
      <c r="E156" s="784">
        <v>40000</v>
      </c>
      <c r="F156" s="784">
        <v>31500</v>
      </c>
      <c r="G156" s="784">
        <f t="shared" si="21"/>
        <v>8500</v>
      </c>
      <c r="H156" s="784">
        <f t="shared" si="18"/>
        <v>40000</v>
      </c>
      <c r="I156" s="802">
        <f t="shared" si="20"/>
        <v>40000</v>
      </c>
      <c r="J156" s="810"/>
      <c r="K156" s="802">
        <v>30600</v>
      </c>
      <c r="L156" s="802">
        <v>40000</v>
      </c>
      <c r="M156" s="825">
        <v>40000</v>
      </c>
      <c r="N156" s="825">
        <v>40000</v>
      </c>
      <c r="O156" s="825">
        <v>50000</v>
      </c>
      <c r="P156" s="863">
        <v>50000</v>
      </c>
    </row>
    <row r="157" spans="1:16">
      <c r="A157" s="773">
        <v>6171</v>
      </c>
      <c r="B157" s="772">
        <v>5154</v>
      </c>
      <c r="C157" s="785" t="s">
        <v>702</v>
      </c>
      <c r="D157" s="784">
        <v>15000</v>
      </c>
      <c r="E157" s="784">
        <v>15000</v>
      </c>
      <c r="F157" s="784">
        <v>10640</v>
      </c>
      <c r="G157" s="784">
        <f t="shared" si="21"/>
        <v>4360</v>
      </c>
      <c r="H157" s="784">
        <f t="shared" si="18"/>
        <v>15000</v>
      </c>
      <c r="I157" s="802">
        <f t="shared" si="20"/>
        <v>15000</v>
      </c>
      <c r="J157" s="810"/>
      <c r="K157" s="802"/>
      <c r="L157" s="802">
        <v>15000</v>
      </c>
      <c r="M157" s="825">
        <v>60000</v>
      </c>
      <c r="N157" s="825">
        <v>80000</v>
      </c>
      <c r="O157" s="825">
        <v>60000</v>
      </c>
      <c r="P157" s="863">
        <v>60000</v>
      </c>
    </row>
    <row r="158" spans="1:16">
      <c r="A158" s="773">
        <v>6171</v>
      </c>
      <c r="B158" s="772">
        <v>5161</v>
      </c>
      <c r="C158" s="785" t="s">
        <v>703</v>
      </c>
      <c r="D158" s="784">
        <v>5000</v>
      </c>
      <c r="E158" s="784">
        <v>5000</v>
      </c>
      <c r="F158" s="784">
        <v>10071</v>
      </c>
      <c r="G158" s="784">
        <f>12000-F158</f>
        <v>1929</v>
      </c>
      <c r="H158" s="784">
        <f t="shared" si="18"/>
        <v>12000</v>
      </c>
      <c r="I158" s="802">
        <f t="shared" si="20"/>
        <v>12000</v>
      </c>
      <c r="J158" s="810"/>
      <c r="K158" s="802">
        <v>1718</v>
      </c>
      <c r="L158" s="802">
        <v>5000</v>
      </c>
      <c r="M158" s="825">
        <v>3000</v>
      </c>
      <c r="N158" s="825">
        <v>5000</v>
      </c>
      <c r="O158" s="825">
        <v>5000</v>
      </c>
      <c r="P158" s="863">
        <v>5000</v>
      </c>
    </row>
    <row r="159" spans="1:16">
      <c r="A159" s="773">
        <v>6171</v>
      </c>
      <c r="B159" s="772">
        <v>5162</v>
      </c>
      <c r="C159" s="785" t="s">
        <v>704</v>
      </c>
      <c r="D159" s="784">
        <v>25000</v>
      </c>
      <c r="E159" s="784">
        <v>25000</v>
      </c>
      <c r="F159" s="784">
        <v>19428.080000000002</v>
      </c>
      <c r="G159" s="784">
        <f t="shared" si="21"/>
        <v>5571.9199999999983</v>
      </c>
      <c r="H159" s="784">
        <f t="shared" si="18"/>
        <v>25000</v>
      </c>
      <c r="I159" s="802">
        <f t="shared" si="20"/>
        <v>25000</v>
      </c>
      <c r="J159" s="810"/>
      <c r="K159" s="802">
        <v>28542</v>
      </c>
      <c r="L159" s="802">
        <v>30000</v>
      </c>
      <c r="M159" s="825">
        <v>30000</v>
      </c>
      <c r="N159" s="825">
        <v>30000</v>
      </c>
      <c r="O159" s="825">
        <v>35000</v>
      </c>
      <c r="P159" s="863">
        <v>35000</v>
      </c>
    </row>
    <row r="160" spans="1:16">
      <c r="A160" s="773">
        <v>6171</v>
      </c>
      <c r="B160" s="772">
        <v>5163</v>
      </c>
      <c r="C160" s="785" t="s">
        <v>705</v>
      </c>
      <c r="D160" s="784">
        <v>30000</v>
      </c>
      <c r="E160" s="784">
        <v>30000</v>
      </c>
      <c r="F160" s="784">
        <v>23564.799999999999</v>
      </c>
      <c r="G160" s="784">
        <f t="shared" si="21"/>
        <v>6435.2000000000007</v>
      </c>
      <c r="H160" s="784">
        <f t="shared" si="18"/>
        <v>30000</v>
      </c>
      <c r="I160" s="802">
        <f t="shared" si="20"/>
        <v>30000</v>
      </c>
      <c r="J160" s="810"/>
      <c r="K160" s="802">
        <v>70124</v>
      </c>
      <c r="L160" s="802">
        <v>70500</v>
      </c>
      <c r="M160" s="825">
        <v>90000</v>
      </c>
      <c r="N160" s="825">
        <v>90000</v>
      </c>
      <c r="O160" s="825">
        <v>90000</v>
      </c>
      <c r="P160" s="863">
        <v>90000</v>
      </c>
    </row>
    <row r="161" spans="1:16">
      <c r="A161" s="773">
        <v>6171</v>
      </c>
      <c r="B161" s="772">
        <v>5166</v>
      </c>
      <c r="C161" s="785" t="s">
        <v>706</v>
      </c>
      <c r="D161" s="784">
        <v>100000</v>
      </c>
      <c r="E161" s="784">
        <v>100000</v>
      </c>
      <c r="F161" s="784">
        <v>25168</v>
      </c>
      <c r="G161" s="784">
        <f t="shared" si="21"/>
        <v>74832</v>
      </c>
      <c r="H161" s="784">
        <f t="shared" si="18"/>
        <v>100000</v>
      </c>
      <c r="I161" s="802">
        <f t="shared" si="20"/>
        <v>100000</v>
      </c>
      <c r="J161" s="810"/>
      <c r="K161" s="802">
        <v>44162</v>
      </c>
      <c r="L161" s="802">
        <v>100000</v>
      </c>
      <c r="M161" s="825">
        <v>450000</v>
      </c>
      <c r="N161" s="825">
        <v>200000</v>
      </c>
      <c r="O161" s="825">
        <v>400000</v>
      </c>
      <c r="P161" s="863">
        <v>1000000</v>
      </c>
    </row>
    <row r="162" spans="1:16">
      <c r="A162" s="773">
        <v>6171</v>
      </c>
      <c r="B162" s="772">
        <v>5167</v>
      </c>
      <c r="C162" s="785" t="s">
        <v>707</v>
      </c>
      <c r="D162" s="784">
        <v>5000</v>
      </c>
      <c r="E162" s="784">
        <v>5000</v>
      </c>
      <c r="F162" s="784">
        <v>1000</v>
      </c>
      <c r="G162" s="784">
        <f t="shared" si="21"/>
        <v>4000</v>
      </c>
      <c r="H162" s="784">
        <f t="shared" si="18"/>
        <v>5000</v>
      </c>
      <c r="I162" s="802">
        <f t="shared" si="20"/>
        <v>5000</v>
      </c>
      <c r="J162" s="810"/>
      <c r="K162" s="802">
        <v>800</v>
      </c>
      <c r="L162" s="802">
        <v>5000</v>
      </c>
      <c r="M162" s="825"/>
      <c r="N162" s="825">
        <v>5000</v>
      </c>
      <c r="O162" s="825"/>
      <c r="P162" s="863">
        <v>30000</v>
      </c>
    </row>
    <row r="163" spans="1:16">
      <c r="A163" s="773">
        <v>6171</v>
      </c>
      <c r="B163" s="772">
        <v>5168</v>
      </c>
      <c r="C163" s="785" t="s">
        <v>708</v>
      </c>
      <c r="D163" s="784">
        <v>230000</v>
      </c>
      <c r="E163" s="784">
        <v>230000</v>
      </c>
      <c r="F163" s="784">
        <v>208858.12</v>
      </c>
      <c r="G163" s="784">
        <f t="shared" si="21"/>
        <v>21141.880000000005</v>
      </c>
      <c r="H163" s="784">
        <f t="shared" si="18"/>
        <v>230000</v>
      </c>
      <c r="I163" s="802">
        <f t="shared" si="20"/>
        <v>230000</v>
      </c>
      <c r="J163" s="810"/>
      <c r="K163" s="802">
        <v>189141</v>
      </c>
      <c r="L163" s="802">
        <v>230000</v>
      </c>
      <c r="M163" s="825">
        <v>250000</v>
      </c>
      <c r="N163" s="825">
        <v>300000</v>
      </c>
      <c r="O163" s="825">
        <v>300000</v>
      </c>
      <c r="P163" s="863">
        <v>350000</v>
      </c>
    </row>
    <row r="164" spans="1:16">
      <c r="A164" s="773">
        <v>6171</v>
      </c>
      <c r="B164" s="772">
        <v>5169</v>
      </c>
      <c r="C164" s="785" t="s">
        <v>709</v>
      </c>
      <c r="D164" s="784">
        <v>70000</v>
      </c>
      <c r="E164" s="784">
        <v>70000</v>
      </c>
      <c r="F164" s="784">
        <v>18863.400000000001</v>
      </c>
      <c r="G164" s="784">
        <f t="shared" si="21"/>
        <v>51136.6</v>
      </c>
      <c r="H164" s="784">
        <f t="shared" si="18"/>
        <v>70000</v>
      </c>
      <c r="I164" s="802">
        <f t="shared" si="20"/>
        <v>70000</v>
      </c>
      <c r="J164" s="810"/>
      <c r="K164" s="802">
        <v>15578</v>
      </c>
      <c r="L164" s="802">
        <v>50000</v>
      </c>
      <c r="M164" s="825">
        <v>75000</v>
      </c>
      <c r="N164" s="825">
        <v>50000</v>
      </c>
      <c r="O164" s="825">
        <v>130000</v>
      </c>
      <c r="P164" s="863">
        <v>150000</v>
      </c>
    </row>
    <row r="165" spans="1:16">
      <c r="A165" s="773">
        <v>6171</v>
      </c>
      <c r="B165" s="772">
        <v>5171</v>
      </c>
      <c r="C165" s="785" t="s">
        <v>710</v>
      </c>
      <c r="D165" s="784">
        <v>50000</v>
      </c>
      <c r="E165" s="784">
        <v>350000</v>
      </c>
      <c r="F165" s="784">
        <v>34740.69</v>
      </c>
      <c r="G165" s="784">
        <f t="shared" si="21"/>
        <v>315259.31</v>
      </c>
      <c r="H165" s="784">
        <f t="shared" si="18"/>
        <v>350000</v>
      </c>
      <c r="I165" s="802">
        <f t="shared" si="20"/>
        <v>350000</v>
      </c>
      <c r="J165" s="810"/>
      <c r="K165" s="802">
        <v>178861</v>
      </c>
      <c r="L165" s="802">
        <v>200000</v>
      </c>
      <c r="M165" s="825">
        <v>40000</v>
      </c>
      <c r="N165" s="825">
        <v>100000</v>
      </c>
      <c r="O165" s="825">
        <v>5000</v>
      </c>
      <c r="P165" s="863">
        <v>50000</v>
      </c>
    </row>
    <row r="166" spans="1:16">
      <c r="A166" s="773">
        <v>6171</v>
      </c>
      <c r="B166" s="772">
        <v>5172</v>
      </c>
      <c r="C166" s="785" t="s">
        <v>711</v>
      </c>
      <c r="D166" s="784"/>
      <c r="E166" s="784"/>
      <c r="F166" s="784"/>
      <c r="G166" s="784"/>
      <c r="H166" s="784"/>
      <c r="I166" s="802"/>
      <c r="J166" s="810"/>
      <c r="K166" s="802"/>
      <c r="L166" s="802"/>
      <c r="M166" s="825"/>
      <c r="N166" s="825"/>
      <c r="O166" s="825">
        <v>31000</v>
      </c>
      <c r="P166" s="863">
        <v>50000</v>
      </c>
    </row>
    <row r="167" spans="1:16">
      <c r="A167" s="773">
        <v>6171</v>
      </c>
      <c r="B167" s="772">
        <v>5173</v>
      </c>
      <c r="C167" s="785" t="s">
        <v>712</v>
      </c>
      <c r="D167" s="784">
        <v>500</v>
      </c>
      <c r="E167" s="784">
        <v>500</v>
      </c>
      <c r="F167" s="784"/>
      <c r="G167" s="784">
        <f t="shared" si="21"/>
        <v>500</v>
      </c>
      <c r="H167" s="784">
        <f t="shared" si="18"/>
        <v>500</v>
      </c>
      <c r="I167" s="802">
        <f t="shared" si="20"/>
        <v>500</v>
      </c>
      <c r="J167" s="810"/>
      <c r="K167" s="802"/>
      <c r="L167" s="802">
        <v>500</v>
      </c>
      <c r="M167" s="825"/>
      <c r="N167" s="825"/>
      <c r="O167" s="825"/>
      <c r="P167" s="863">
        <v>10000</v>
      </c>
    </row>
    <row r="168" spans="1:16">
      <c r="A168" s="773">
        <v>6171</v>
      </c>
      <c r="B168" s="772">
        <v>5175</v>
      </c>
      <c r="C168" s="785" t="s">
        <v>713</v>
      </c>
      <c r="D168" s="784">
        <v>10000</v>
      </c>
      <c r="E168" s="784">
        <v>10000</v>
      </c>
      <c r="F168" s="784">
        <v>15750</v>
      </c>
      <c r="G168" s="784">
        <f>20000-F168</f>
        <v>4250</v>
      </c>
      <c r="H168" s="784">
        <f t="shared" si="18"/>
        <v>20000</v>
      </c>
      <c r="I168" s="802">
        <f t="shared" si="20"/>
        <v>20000</v>
      </c>
      <c r="J168" s="810"/>
      <c r="K168" s="802">
        <v>8033</v>
      </c>
      <c r="L168" s="802">
        <v>20000</v>
      </c>
      <c r="M168" s="825">
        <v>20000</v>
      </c>
      <c r="N168" s="825">
        <v>20000</v>
      </c>
      <c r="O168" s="825">
        <v>20000</v>
      </c>
      <c r="P168" s="863">
        <v>20000</v>
      </c>
    </row>
    <row r="169" spans="1:16">
      <c r="A169" s="773">
        <v>6171</v>
      </c>
      <c r="B169" s="772">
        <v>5229</v>
      </c>
      <c r="C169" s="785" t="s">
        <v>714</v>
      </c>
      <c r="D169" s="784">
        <v>150000</v>
      </c>
      <c r="E169" s="784">
        <v>150000</v>
      </c>
      <c r="F169" s="784">
        <v>10820</v>
      </c>
      <c r="G169" s="784">
        <f t="shared" si="21"/>
        <v>139180</v>
      </c>
      <c r="H169" s="784">
        <f t="shared" si="18"/>
        <v>150000</v>
      </c>
      <c r="I169" s="802">
        <f>H169</f>
        <v>150000</v>
      </c>
      <c r="J169" s="810"/>
      <c r="K169" s="802">
        <v>277586</v>
      </c>
      <c r="L169" s="802">
        <v>150000</v>
      </c>
      <c r="M169" s="825">
        <v>150000</v>
      </c>
      <c r="N169" s="825">
        <v>150000</v>
      </c>
      <c r="O169" s="825">
        <v>70000</v>
      </c>
      <c r="P169" s="863">
        <v>250000</v>
      </c>
    </row>
    <row r="170" spans="1:16">
      <c r="A170" s="773">
        <v>6171</v>
      </c>
      <c r="B170" s="772">
        <v>5321</v>
      </c>
      <c r="C170" s="785" t="s">
        <v>715</v>
      </c>
      <c r="D170" s="784">
        <v>100000</v>
      </c>
      <c r="E170" s="784">
        <v>100000</v>
      </c>
      <c r="F170" s="784">
        <v>52400</v>
      </c>
      <c r="G170" s="784">
        <f t="shared" si="21"/>
        <v>47600</v>
      </c>
      <c r="H170" s="784">
        <f t="shared" si="18"/>
        <v>100000</v>
      </c>
      <c r="I170" s="802">
        <f>H170</f>
        <v>100000</v>
      </c>
      <c r="J170" s="810"/>
      <c r="K170" s="802">
        <v>100000</v>
      </c>
      <c r="L170" s="802">
        <v>100000</v>
      </c>
      <c r="M170" s="825">
        <v>100000</v>
      </c>
      <c r="N170" s="825">
        <v>200000</v>
      </c>
      <c r="O170" s="825">
        <v>200000</v>
      </c>
      <c r="P170" s="863">
        <v>200000</v>
      </c>
    </row>
    <row r="171" spans="1:16">
      <c r="A171" s="773">
        <v>6171</v>
      </c>
      <c r="B171" s="772">
        <v>5329</v>
      </c>
      <c r="C171" s="785" t="s">
        <v>716</v>
      </c>
      <c r="D171" s="784"/>
      <c r="E171" s="784">
        <v>33200</v>
      </c>
      <c r="F171" s="784">
        <v>33200</v>
      </c>
      <c r="G171" s="784">
        <f t="shared" si="21"/>
        <v>0</v>
      </c>
      <c r="H171" s="784">
        <f t="shared" si="18"/>
        <v>33200</v>
      </c>
      <c r="I171" s="802">
        <f>H171</f>
        <v>33200</v>
      </c>
      <c r="J171" s="810"/>
      <c r="K171" s="802">
        <v>35020</v>
      </c>
      <c r="L171" s="802">
        <v>35500</v>
      </c>
      <c r="M171" s="825">
        <v>36000</v>
      </c>
      <c r="N171" s="825">
        <v>37000</v>
      </c>
      <c r="O171" s="825"/>
      <c r="P171" s="863">
        <v>500000</v>
      </c>
    </row>
    <row r="172" spans="1:16" hidden="1">
      <c r="A172" s="773">
        <v>6171</v>
      </c>
      <c r="B172" s="772">
        <v>5364</v>
      </c>
      <c r="C172" s="785" t="s">
        <v>717</v>
      </c>
      <c r="D172" s="784">
        <v>30000</v>
      </c>
      <c r="E172" s="784">
        <v>30000</v>
      </c>
      <c r="F172" s="784"/>
      <c r="G172" s="784">
        <f t="shared" si="21"/>
        <v>30000</v>
      </c>
      <c r="H172" s="784">
        <f t="shared" si="18"/>
        <v>30000</v>
      </c>
      <c r="I172" s="802">
        <f>H172</f>
        <v>30000</v>
      </c>
      <c r="J172" s="811">
        <v>-30000</v>
      </c>
      <c r="K172" s="802"/>
      <c r="L172" s="802"/>
      <c r="M172" s="825"/>
      <c r="N172" s="825"/>
      <c r="O172" s="825">
        <v>112200</v>
      </c>
      <c r="P172" s="863"/>
    </row>
    <row r="173" spans="1:16">
      <c r="A173" s="773">
        <v>6171</v>
      </c>
      <c r="B173" s="772">
        <v>5492</v>
      </c>
      <c r="C173" s="785" t="s">
        <v>718</v>
      </c>
      <c r="D173" s="784"/>
      <c r="E173" s="784"/>
      <c r="F173" s="784"/>
      <c r="G173" s="784"/>
      <c r="H173" s="784"/>
      <c r="I173" s="802"/>
      <c r="J173" s="811"/>
      <c r="K173" s="802"/>
      <c r="L173" s="802"/>
      <c r="M173" s="825"/>
      <c r="N173" s="825"/>
      <c r="O173" s="825">
        <v>39000</v>
      </c>
      <c r="P173" s="863">
        <v>100000</v>
      </c>
    </row>
    <row r="174" spans="1:16">
      <c r="A174" s="836">
        <v>6171</v>
      </c>
      <c r="B174" s="837">
        <v>6121</v>
      </c>
      <c r="C174" s="838" t="s">
        <v>719</v>
      </c>
      <c r="D174" s="839">
        <v>1000000</v>
      </c>
      <c r="E174" s="839">
        <v>200000</v>
      </c>
      <c r="F174" s="839"/>
      <c r="G174" s="839" t="e">
        <f>#REF!</f>
        <v>#REF!</v>
      </c>
      <c r="H174" s="839" t="e">
        <f t="shared" si="18"/>
        <v>#REF!</v>
      </c>
      <c r="I174" s="840" t="e">
        <f>#REF!</f>
        <v>#REF!</v>
      </c>
      <c r="J174" s="840">
        <v>1200000</v>
      </c>
      <c r="K174" s="840"/>
      <c r="L174" s="840"/>
      <c r="M174" s="842"/>
      <c r="N174" s="842"/>
      <c r="O174" s="842"/>
      <c r="P174" s="901">
        <v>3500000</v>
      </c>
    </row>
    <row r="175" spans="1:16" hidden="1">
      <c r="A175" s="836">
        <v>6171</v>
      </c>
      <c r="B175" s="837">
        <v>6122</v>
      </c>
      <c r="C175" s="838" t="s">
        <v>721</v>
      </c>
      <c r="D175" s="839"/>
      <c r="E175" s="839"/>
      <c r="F175" s="839"/>
      <c r="G175" s="839"/>
      <c r="H175" s="839"/>
      <c r="I175" s="840"/>
      <c r="J175" s="840"/>
      <c r="K175" s="840"/>
      <c r="L175" s="840"/>
      <c r="M175" s="842"/>
      <c r="N175" s="842"/>
      <c r="O175" s="842">
        <v>300000</v>
      </c>
      <c r="P175" s="901"/>
    </row>
    <row r="176" spans="1:16">
      <c r="A176" s="773">
        <v>6310</v>
      </c>
      <c r="B176" s="772">
        <v>5141</v>
      </c>
      <c r="C176" s="785" t="s">
        <v>722</v>
      </c>
      <c r="D176" s="784">
        <v>200000</v>
      </c>
      <c r="E176" s="784">
        <v>200000</v>
      </c>
      <c r="F176" s="784">
        <v>99018.94</v>
      </c>
      <c r="G176" s="784">
        <f>4*11000</f>
        <v>44000</v>
      </c>
      <c r="H176" s="784">
        <f t="shared" si="18"/>
        <v>143018.94</v>
      </c>
      <c r="I176" s="802">
        <f>12*10500</f>
        <v>126000</v>
      </c>
      <c r="J176" s="810"/>
      <c r="K176" s="802">
        <v>103446</v>
      </c>
      <c r="L176" s="802">
        <v>126000</v>
      </c>
      <c r="M176" s="825">
        <v>110000</v>
      </c>
      <c r="N176" s="825">
        <v>110000</v>
      </c>
      <c r="O176" s="825">
        <v>60000</v>
      </c>
      <c r="P176" s="863">
        <v>70000</v>
      </c>
    </row>
    <row r="177" spans="1:16">
      <c r="A177" s="773">
        <v>6310</v>
      </c>
      <c r="B177" s="772">
        <v>5163</v>
      </c>
      <c r="C177" s="785" t="s">
        <v>723</v>
      </c>
      <c r="D177" s="784">
        <v>20000</v>
      </c>
      <c r="E177" s="784">
        <v>20000</v>
      </c>
      <c r="F177" s="784">
        <v>10436.4</v>
      </c>
      <c r="G177" s="784">
        <f t="shared" si="21"/>
        <v>9563.6</v>
      </c>
      <c r="H177" s="784">
        <f t="shared" si="18"/>
        <v>20000</v>
      </c>
      <c r="I177" s="802">
        <f>H177</f>
        <v>20000</v>
      </c>
      <c r="J177" s="810"/>
      <c r="K177" s="802">
        <v>5410</v>
      </c>
      <c r="L177" s="802">
        <v>15000</v>
      </c>
      <c r="M177" s="825">
        <v>10000</v>
      </c>
      <c r="N177" s="825">
        <v>10000</v>
      </c>
      <c r="O177" s="825">
        <v>10000</v>
      </c>
      <c r="P177" s="863">
        <v>10000</v>
      </c>
    </row>
    <row r="178" spans="1:16">
      <c r="A178" s="773">
        <v>6310</v>
      </c>
      <c r="B178" s="772">
        <v>5362</v>
      </c>
      <c r="C178" s="785" t="s">
        <v>724</v>
      </c>
      <c r="D178" s="784">
        <v>600000</v>
      </c>
      <c r="E178" s="784">
        <v>600000</v>
      </c>
      <c r="F178" s="784">
        <v>202083</v>
      </c>
      <c r="G178" s="784">
        <f t="shared" si="21"/>
        <v>397917</v>
      </c>
      <c r="H178" s="784">
        <f t="shared" si="18"/>
        <v>600000</v>
      </c>
      <c r="I178" s="802">
        <f>H178</f>
        <v>600000</v>
      </c>
      <c r="J178" s="810"/>
      <c r="K178" s="802">
        <v>85109</v>
      </c>
      <c r="L178" s="802">
        <v>300000</v>
      </c>
      <c r="M178" s="825">
        <v>270000</v>
      </c>
      <c r="N178" s="825">
        <v>270000</v>
      </c>
      <c r="O178" s="825">
        <v>120000</v>
      </c>
      <c r="P178" s="863">
        <v>200000</v>
      </c>
    </row>
    <row r="179" spans="1:16">
      <c r="A179" s="773">
        <v>6399</v>
      </c>
      <c r="B179" s="772">
        <v>5362</v>
      </c>
      <c r="C179" s="785" t="s">
        <v>725</v>
      </c>
      <c r="D179" s="784">
        <v>200000</v>
      </c>
      <c r="E179" s="784">
        <v>200000</v>
      </c>
      <c r="F179" s="784"/>
      <c r="G179" s="784">
        <f t="shared" si="21"/>
        <v>200000</v>
      </c>
      <c r="H179" s="784">
        <f t="shared" si="18"/>
        <v>200000</v>
      </c>
      <c r="I179" s="802">
        <f>H179</f>
        <v>200000</v>
      </c>
      <c r="J179" s="811">
        <v>-200000</v>
      </c>
      <c r="K179" s="802"/>
      <c r="L179" s="802">
        <v>200000</v>
      </c>
      <c r="M179" s="825">
        <v>620007</v>
      </c>
      <c r="N179" s="825">
        <v>600000</v>
      </c>
      <c r="O179" s="825">
        <v>87000</v>
      </c>
      <c r="P179" s="863">
        <v>100000</v>
      </c>
    </row>
    <row r="180" spans="1:16" ht="14" thickBot="1">
      <c r="A180" s="1095" t="s">
        <v>726</v>
      </c>
      <c r="B180" s="1096"/>
      <c r="C180" s="1096"/>
      <c r="D180" s="782">
        <f t="shared" ref="D180:N180" si="22">SUM(D66:D179)</f>
        <v>43881900</v>
      </c>
      <c r="E180" s="782">
        <f t="shared" si="22"/>
        <v>46585900</v>
      </c>
      <c r="F180" s="782">
        <f t="shared" si="22"/>
        <v>33123496.800000001</v>
      </c>
      <c r="G180" s="782" t="e">
        <f t="shared" si="22"/>
        <v>#REF!</v>
      </c>
      <c r="H180" s="782" t="e">
        <f t="shared" si="22"/>
        <v>#REF!</v>
      </c>
      <c r="I180" s="801" t="e">
        <f t="shared" si="22"/>
        <v>#REF!</v>
      </c>
      <c r="J180" s="818">
        <f t="shared" si="22"/>
        <v>-238851</v>
      </c>
      <c r="K180" s="801">
        <f t="shared" si="22"/>
        <v>14623430</v>
      </c>
      <c r="L180" s="801" t="e">
        <f t="shared" si="22"/>
        <v>#REF!</v>
      </c>
      <c r="M180" s="865">
        <f t="shared" si="22"/>
        <v>19701107</v>
      </c>
      <c r="N180" s="865">
        <f t="shared" si="22"/>
        <v>35689100</v>
      </c>
      <c r="O180" s="858">
        <f>SUM(O65:O179)</f>
        <v>32750895</v>
      </c>
      <c r="P180" s="859">
        <f>SUM(P65:P179)</f>
        <v>101033000</v>
      </c>
    </row>
    <row r="181" spans="1:16" ht="14" thickBot="1">
      <c r="A181" s="952"/>
      <c r="B181" s="952"/>
      <c r="C181" s="788"/>
      <c r="D181" s="787"/>
      <c r="E181" s="787"/>
      <c r="F181" s="787"/>
      <c r="G181" s="953"/>
      <c r="H181" s="954"/>
      <c r="I181" s="954"/>
      <c r="J181" s="795"/>
      <c r="K181" s="954"/>
      <c r="L181" s="954"/>
      <c r="M181" s="826"/>
      <c r="N181" s="826"/>
      <c r="O181" s="826"/>
      <c r="P181" s="826"/>
    </row>
    <row r="182" spans="1:16">
      <c r="A182" s="1093" t="s">
        <v>727</v>
      </c>
      <c r="B182" s="1094"/>
      <c r="C182" s="1094"/>
      <c r="D182" s="797" t="e">
        <f t="shared" ref="D182:I182" si="23">D180-D183</f>
        <v>#REF!</v>
      </c>
      <c r="E182" s="797" t="e">
        <f t="shared" si="23"/>
        <v>#REF!</v>
      </c>
      <c r="F182" s="797" t="e">
        <f t="shared" si="23"/>
        <v>#REF!</v>
      </c>
      <c r="G182" s="797" t="e">
        <f t="shared" si="23"/>
        <v>#REF!</v>
      </c>
      <c r="H182" s="797" t="e">
        <f t="shared" si="23"/>
        <v>#REF!</v>
      </c>
      <c r="I182" s="804" t="e">
        <f t="shared" si="23"/>
        <v>#REF!</v>
      </c>
      <c r="J182" s="817"/>
      <c r="K182" s="804" t="e">
        <f t="shared" ref="K182:P182" si="24">K180-K183</f>
        <v>#REF!</v>
      </c>
      <c r="L182" s="804" t="e">
        <f t="shared" si="24"/>
        <v>#REF!</v>
      </c>
      <c r="M182" s="829" t="e">
        <f t="shared" si="24"/>
        <v>#REF!</v>
      </c>
      <c r="N182" s="833">
        <f>N180-N183</f>
        <v>18629100</v>
      </c>
      <c r="O182" s="880">
        <f t="shared" si="24"/>
        <v>25135895</v>
      </c>
      <c r="P182" s="881">
        <f t="shared" si="24"/>
        <v>38553000</v>
      </c>
    </row>
    <row r="183" spans="1:16">
      <c r="A183" s="1097" t="s">
        <v>728</v>
      </c>
      <c r="B183" s="1098"/>
      <c r="C183" s="1098"/>
      <c r="D183" s="792" t="e">
        <f>#REF!+D72+D88+D97+#REF!+D100+D109+D114+#REF!+D130+D131+#REF!+D141+#REF!+D174</f>
        <v>#REF!</v>
      </c>
      <c r="E183" s="792" t="e">
        <f>#REF!+E72+E88+E97+#REF!+E100+E109+E114+#REF!+E130+E131+#REF!+E141+#REF!+E174</f>
        <v>#REF!</v>
      </c>
      <c r="F183" s="792" t="e">
        <f>#REF!+F72+F88+F97+#REF!+F100+F109+F114+#REF!+F130+F131+#REF!+F141+#REF!+F174</f>
        <v>#REF!</v>
      </c>
      <c r="G183" s="792" t="e">
        <f>#REF!+G72+G88+G97+#REF!+G100+G109+G114+#REF!+G130+G131+#REF!+G141+#REF!+G174</f>
        <v>#REF!</v>
      </c>
      <c r="H183" s="792" t="e">
        <f>#REF!+H72+H88+H97+#REF!+H100+H109+H114+#REF!+H130+H131+#REF!+H141+#REF!+H174</f>
        <v>#REF!</v>
      </c>
      <c r="I183" s="805" t="e">
        <f>#REF!+I72+I88+I97+#REF!+I100+I109+I114+#REF!+I130+I131+#REF!+I141+I174+I118+I119</f>
        <v>#REF!</v>
      </c>
      <c r="J183" s="810"/>
      <c r="K183" s="805" t="e">
        <f>#REF!+K72+K88+K97+#REF!+K100+K109+K114+#REF!+K130+K131+#REF!+K141+K174+K119+K86</f>
        <v>#REF!</v>
      </c>
      <c r="L183" s="805" t="e">
        <f>#REF!+L72+L88+#REF!+L97+L100+L109+L114+L130+L131+#REF!+L174+L141+L119+#REF!+L118</f>
        <v>#REF!</v>
      </c>
      <c r="M183" s="832" t="e">
        <f>#REF!+M72+M86+M88+#REF!+M97+#REF!+M99+M100+M108+M109+M114+M118+#REF!+M119+M130+M131+#REF!+M141+M174</f>
        <v>#REF!</v>
      </c>
      <c r="N183" s="834">
        <f>N72+N86+N88+N97+N99+N100+N108+N109+N114+N118+N119+N130+N131+N141+N174</f>
        <v>17060000</v>
      </c>
      <c r="O183" s="828">
        <f>O72+O86+O88+O97+O99+O100+O108+O109+O111+O114+O117+O118+O119+O130+O131+O141+O174+O175</f>
        <v>7615000</v>
      </c>
      <c r="P183" s="994">
        <f>P72+P86+P88+P97+P100+P108+P109+P111+P114+P117+P118+P119+P130+P131+P141+P174+P175</f>
        <v>62480000</v>
      </c>
    </row>
    <row r="184" spans="1:16" ht="14" thickBot="1">
      <c r="A184" s="1095" t="s">
        <v>726</v>
      </c>
      <c r="B184" s="1096"/>
      <c r="C184" s="1096"/>
      <c r="D184" s="782">
        <f t="shared" ref="D184:I184" si="25">D180</f>
        <v>43881900</v>
      </c>
      <c r="E184" s="782">
        <f t="shared" si="25"/>
        <v>46585900</v>
      </c>
      <c r="F184" s="782">
        <f t="shared" si="25"/>
        <v>33123496.800000001</v>
      </c>
      <c r="G184" s="782" t="e">
        <f t="shared" si="25"/>
        <v>#REF!</v>
      </c>
      <c r="H184" s="782" t="e">
        <f t="shared" si="25"/>
        <v>#REF!</v>
      </c>
      <c r="I184" s="801" t="e">
        <f t="shared" si="25"/>
        <v>#REF!</v>
      </c>
      <c r="J184" s="819"/>
      <c r="K184" s="801">
        <f>K180</f>
        <v>14623430</v>
      </c>
      <c r="L184" s="801" t="e">
        <f>L180</f>
        <v>#REF!</v>
      </c>
      <c r="M184" s="830" t="e">
        <f>SUM(M182:M183)</f>
        <v>#REF!</v>
      </c>
      <c r="N184" s="835">
        <f>SUM(N182:N183)</f>
        <v>35689100</v>
      </c>
      <c r="O184" s="858">
        <f>SUM(O182:O183)</f>
        <v>32750895</v>
      </c>
      <c r="P184" s="859">
        <f>SUM(P182:P183)</f>
        <v>101033000</v>
      </c>
    </row>
    <row r="185" spans="1:16" ht="14" thickBot="1">
      <c r="A185" s="952"/>
      <c r="B185" s="952"/>
      <c r="C185" s="788"/>
      <c r="D185" s="787"/>
      <c r="E185" s="787"/>
      <c r="F185" s="787"/>
      <c r="G185" s="953"/>
      <c r="H185" s="954"/>
      <c r="I185" s="954"/>
      <c r="J185" s="795"/>
      <c r="K185" s="954"/>
      <c r="L185" s="954"/>
      <c r="M185" s="826"/>
      <c r="N185" s="831"/>
      <c r="O185" s="826"/>
      <c r="P185" s="826"/>
    </row>
    <row r="186" spans="1:16">
      <c r="A186" s="1093" t="s">
        <v>729</v>
      </c>
      <c r="B186" s="1094"/>
      <c r="C186" s="1094"/>
      <c r="D186" s="798"/>
      <c r="E186" s="798"/>
      <c r="F186" s="798"/>
      <c r="G186" s="798"/>
      <c r="H186" s="798"/>
      <c r="I186" s="806"/>
      <c r="J186" s="817"/>
      <c r="K186" s="806"/>
      <c r="L186" s="806"/>
      <c r="M186" s="880"/>
      <c r="N186" s="880"/>
      <c r="O186" s="880"/>
      <c r="P186" s="881"/>
    </row>
    <row r="187" spans="1:16">
      <c r="A187" s="773">
        <v>8124</v>
      </c>
      <c r="B187" s="772">
        <v>8124</v>
      </c>
      <c r="C187" s="785" t="s">
        <v>730</v>
      </c>
      <c r="D187" s="784">
        <f>2800000-800000</f>
        <v>2000000</v>
      </c>
      <c r="E187" s="784">
        <v>2000000</v>
      </c>
      <c r="F187" s="784">
        <v>1361446</v>
      </c>
      <c r="G187" s="784">
        <f>4*125000</f>
        <v>500000</v>
      </c>
      <c r="H187" s="784">
        <f>G187+F187</f>
        <v>1861446</v>
      </c>
      <c r="I187" s="802">
        <f>12*125000</f>
        <v>1500000</v>
      </c>
      <c r="J187" s="810"/>
      <c r="K187" s="802">
        <f>12*125000</f>
        <v>1500000</v>
      </c>
      <c r="L187" s="802">
        <f>12*125000</f>
        <v>1500000</v>
      </c>
      <c r="M187" s="825">
        <v>1500000</v>
      </c>
      <c r="N187" s="825">
        <v>1500000</v>
      </c>
      <c r="O187" s="825">
        <v>1500000</v>
      </c>
      <c r="P187" s="863">
        <v>1500000</v>
      </c>
    </row>
    <row r="188" spans="1:16" ht="14" thickBot="1">
      <c r="A188" s="1095" t="s">
        <v>731</v>
      </c>
      <c r="B188" s="1096"/>
      <c r="C188" s="1096"/>
      <c r="D188" s="782" t="e">
        <f>#REF!-D186+D187</f>
        <v>#REF!</v>
      </c>
      <c r="E188" s="782" t="e">
        <f>#REF!-E186+E187</f>
        <v>#REF!</v>
      </c>
      <c r="F188" s="782" t="e">
        <f>#REF!-F186+F187</f>
        <v>#REF!</v>
      </c>
      <c r="G188" s="782" t="e">
        <f>#REF!-G186+G187</f>
        <v>#REF!</v>
      </c>
      <c r="H188" s="782" t="e">
        <f>#REF!-H186+H187</f>
        <v>#REF!</v>
      </c>
      <c r="I188" s="801" t="e">
        <f>#REF!-I186+I187</f>
        <v>#REF!</v>
      </c>
      <c r="J188" s="819"/>
      <c r="K188" s="801" t="e">
        <f>#REF!-K186+K187</f>
        <v>#REF!</v>
      </c>
      <c r="L188" s="801" t="e">
        <f>#REF!-L186+L187</f>
        <v>#REF!</v>
      </c>
      <c r="M188" s="865">
        <f>M180+M187</f>
        <v>21201107</v>
      </c>
      <c r="N188" s="865">
        <f>N180+N187</f>
        <v>37189100</v>
      </c>
      <c r="O188" s="858">
        <f>O184+O187</f>
        <v>34250895</v>
      </c>
      <c r="P188" s="889">
        <f>P184+P187</f>
        <v>102533000</v>
      </c>
    </row>
  </sheetData>
  <mergeCells count="11">
    <mergeCell ref="A183:C183"/>
    <mergeCell ref="A184:C184"/>
    <mergeCell ref="A186:C186"/>
    <mergeCell ref="A188:C188"/>
    <mergeCell ref="A22:C22"/>
    <mergeCell ref="A42:C42"/>
    <mergeCell ref="A46:C46"/>
    <mergeCell ref="A180:C180"/>
    <mergeCell ref="A182:C182"/>
    <mergeCell ref="A40:C40"/>
    <mergeCell ref="A41:C41"/>
  </mergeCells>
  <pageMargins left="0.7" right="0.7" top="0.78740157499999996" bottom="0.78740157499999996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380E1-9220-4D46-BBC1-1513BF1AF1D0}">
  <dimension ref="A1:S192"/>
  <sheetViews>
    <sheetView topLeftCell="A2" workbookViewId="0">
      <selection activeCell="Q192" sqref="Q192"/>
    </sheetView>
  </sheetViews>
  <sheetFormatPr baseColWidth="10" defaultColWidth="8.83203125" defaultRowHeight="13"/>
  <cols>
    <col min="3" max="3" width="31" customWidth="1"/>
    <col min="4" max="15" width="0" hidden="1" customWidth="1"/>
    <col min="16" max="16" width="14.6640625" customWidth="1"/>
    <col min="17" max="17" width="16.1640625" style="150" customWidth="1"/>
    <col min="19" max="19" width="22.33203125" customWidth="1"/>
  </cols>
  <sheetData>
    <row r="1" spans="1:17" ht="17" thickBot="1">
      <c r="A1" s="808" t="s">
        <v>1230</v>
      </c>
      <c r="B1" s="770"/>
      <c r="C1" s="780"/>
      <c r="D1" s="780"/>
      <c r="E1" s="780"/>
      <c r="F1" s="780"/>
      <c r="G1" s="780"/>
      <c r="H1" s="780"/>
      <c r="I1" s="780"/>
      <c r="J1" s="781"/>
      <c r="K1" s="780"/>
      <c r="L1" s="780"/>
      <c r="O1" s="826"/>
      <c r="P1" s="826"/>
    </row>
    <row r="2" spans="1:17" ht="37" thickBot="1">
      <c r="A2" s="796" t="s">
        <v>532</v>
      </c>
      <c r="B2" s="775" t="s">
        <v>376</v>
      </c>
      <c r="C2" s="774" t="s">
        <v>533</v>
      </c>
      <c r="D2" s="776" t="s">
        <v>534</v>
      </c>
      <c r="E2" s="776" t="s">
        <v>535</v>
      </c>
      <c r="F2" s="776" t="s">
        <v>536</v>
      </c>
      <c r="G2" s="776" t="s">
        <v>537</v>
      </c>
      <c r="H2" s="776" t="s">
        <v>538</v>
      </c>
      <c r="I2" s="800" t="s">
        <v>539</v>
      </c>
      <c r="J2" s="816" t="s">
        <v>540</v>
      </c>
      <c r="K2" s="800" t="s">
        <v>541</v>
      </c>
      <c r="L2" s="800">
        <v>2022</v>
      </c>
      <c r="M2" s="861" t="s">
        <v>542</v>
      </c>
      <c r="N2" s="861" t="s">
        <v>543</v>
      </c>
      <c r="O2" s="886" t="s">
        <v>544</v>
      </c>
      <c r="P2" s="1005" t="s">
        <v>1229</v>
      </c>
      <c r="Q2" s="1016" t="s">
        <v>1227</v>
      </c>
    </row>
    <row r="3" spans="1:17" hidden="1">
      <c r="A3" s="942"/>
      <c r="B3" s="943">
        <v>1111</v>
      </c>
      <c r="C3" s="790" t="s">
        <v>546</v>
      </c>
      <c r="D3" s="944">
        <v>4000000</v>
      </c>
      <c r="E3" s="944">
        <v>4000000</v>
      </c>
      <c r="F3" s="944">
        <v>2830187.77</v>
      </c>
      <c r="G3" s="944">
        <f>E3-F3+1184607</f>
        <v>2354419.23</v>
      </c>
      <c r="H3" s="944">
        <f>G3+F3</f>
        <v>5184607</v>
      </c>
      <c r="I3" s="945">
        <f>H3-2348647</f>
        <v>2835960</v>
      </c>
      <c r="J3" s="803"/>
      <c r="K3" s="945">
        <v>2776178</v>
      </c>
      <c r="L3" s="945">
        <v>2850000</v>
      </c>
      <c r="M3" s="825">
        <v>3400000</v>
      </c>
      <c r="N3" s="825">
        <v>3500000</v>
      </c>
      <c r="O3" s="825">
        <v>4443000</v>
      </c>
      <c r="P3" s="1006">
        <v>5000000</v>
      </c>
      <c r="Q3" s="1015"/>
    </row>
    <row r="4" spans="1:17" hidden="1">
      <c r="A4" s="773"/>
      <c r="B4" s="772">
        <v>1112</v>
      </c>
      <c r="C4" s="785" t="s">
        <v>548</v>
      </c>
      <c r="D4" s="784">
        <v>100000</v>
      </c>
      <c r="E4" s="784">
        <v>100000</v>
      </c>
      <c r="F4" s="784">
        <v>33015.269999999997</v>
      </c>
      <c r="G4" s="784">
        <v>44769</v>
      </c>
      <c r="H4" s="784">
        <f t="shared" ref="H4:H20" si="0">G4+F4</f>
        <v>77784.26999999999</v>
      </c>
      <c r="I4" s="802">
        <f t="shared" ref="I4:I20" si="1">H4</f>
        <v>77784.26999999999</v>
      </c>
      <c r="J4" s="803"/>
      <c r="K4" s="802">
        <v>141012</v>
      </c>
      <c r="L4" s="802">
        <v>150000</v>
      </c>
      <c r="M4" s="825">
        <v>300000</v>
      </c>
      <c r="N4" s="825">
        <v>400000</v>
      </c>
      <c r="O4" s="825">
        <v>330000</v>
      </c>
      <c r="P4" s="1006">
        <v>350000</v>
      </c>
      <c r="Q4" s="1015"/>
    </row>
    <row r="5" spans="1:17" hidden="1">
      <c r="A5" s="773"/>
      <c r="B5" s="772">
        <v>1113</v>
      </c>
      <c r="C5" s="785" t="s">
        <v>550</v>
      </c>
      <c r="D5" s="784">
        <v>390000</v>
      </c>
      <c r="E5" s="784">
        <v>390000</v>
      </c>
      <c r="F5" s="784">
        <v>262113.18</v>
      </c>
      <c r="G5" s="784">
        <f>E5-F5+96150</f>
        <v>224036.82</v>
      </c>
      <c r="H5" s="784">
        <f t="shared" si="0"/>
        <v>486150</v>
      </c>
      <c r="I5" s="802">
        <f t="shared" si="1"/>
        <v>486150</v>
      </c>
      <c r="J5" s="803"/>
      <c r="K5" s="802">
        <v>502179</v>
      </c>
      <c r="L5" s="802">
        <v>530000</v>
      </c>
      <c r="M5" s="825">
        <v>750000</v>
      </c>
      <c r="N5" s="825">
        <v>800000</v>
      </c>
      <c r="O5" s="825">
        <v>1100000</v>
      </c>
      <c r="P5" s="1006">
        <v>1100000</v>
      </c>
      <c r="Q5" s="1015"/>
    </row>
    <row r="6" spans="1:17" hidden="1">
      <c r="A6" s="773"/>
      <c r="B6" s="772">
        <v>1121</v>
      </c>
      <c r="C6" s="785" t="s">
        <v>552</v>
      </c>
      <c r="D6" s="784">
        <v>3600000</v>
      </c>
      <c r="E6" s="784">
        <v>3600000</v>
      </c>
      <c r="F6" s="784">
        <v>1915530.56</v>
      </c>
      <c r="G6" s="784">
        <f>E6-F6-600000+33576</f>
        <v>1118045.44</v>
      </c>
      <c r="H6" s="784">
        <f t="shared" si="0"/>
        <v>3033576</v>
      </c>
      <c r="I6" s="802">
        <f t="shared" si="1"/>
        <v>3033576</v>
      </c>
      <c r="J6" s="803"/>
      <c r="K6" s="802">
        <v>4519174</v>
      </c>
      <c r="L6" s="802">
        <v>4600000</v>
      </c>
      <c r="M6" s="825">
        <v>5800000</v>
      </c>
      <c r="N6" s="825">
        <v>5800000</v>
      </c>
      <c r="O6" s="825">
        <v>7600000</v>
      </c>
      <c r="P6" s="1006">
        <v>8000000</v>
      </c>
      <c r="Q6" s="1015"/>
    </row>
    <row r="7" spans="1:17" hidden="1">
      <c r="A7" s="773"/>
      <c r="B7" s="772">
        <v>1122</v>
      </c>
      <c r="C7" s="785" t="s">
        <v>553</v>
      </c>
      <c r="D7" s="784"/>
      <c r="E7" s="784"/>
      <c r="F7" s="784"/>
      <c r="G7" s="784"/>
      <c r="H7" s="784"/>
      <c r="I7" s="802"/>
      <c r="J7" s="803"/>
      <c r="K7" s="802"/>
      <c r="L7" s="802">
        <v>200000</v>
      </c>
      <c r="M7" s="825">
        <v>620007</v>
      </c>
      <c r="N7" s="825">
        <v>600000</v>
      </c>
      <c r="O7" s="825">
        <v>87000</v>
      </c>
      <c r="P7" s="1006">
        <v>100000</v>
      </c>
      <c r="Q7" s="1015"/>
    </row>
    <row r="8" spans="1:17" hidden="1">
      <c r="A8" s="773"/>
      <c r="B8" s="772">
        <v>1211</v>
      </c>
      <c r="C8" s="785" t="s">
        <v>554</v>
      </c>
      <c r="D8" s="784">
        <v>7700000</v>
      </c>
      <c r="E8" s="784">
        <v>7700000</v>
      </c>
      <c r="F8" s="784">
        <v>6046376.75</v>
      </c>
      <c r="G8" s="784">
        <f>E8-F8+2400000+60535</f>
        <v>4114158.25</v>
      </c>
      <c r="H8" s="784">
        <f t="shared" si="0"/>
        <v>10160535</v>
      </c>
      <c r="I8" s="802">
        <f t="shared" si="1"/>
        <v>10160535</v>
      </c>
      <c r="J8" s="803"/>
      <c r="K8" s="802">
        <v>8931306</v>
      </c>
      <c r="L8" s="802">
        <v>9500000</v>
      </c>
      <c r="M8" s="825">
        <v>13000000</v>
      </c>
      <c r="N8" s="825">
        <v>13500000</v>
      </c>
      <c r="O8" s="825">
        <v>15700000</v>
      </c>
      <c r="P8" s="1006">
        <v>16500000</v>
      </c>
      <c r="Q8" s="1015"/>
    </row>
    <row r="9" spans="1:17" hidden="1">
      <c r="A9" s="773"/>
      <c r="B9" s="772">
        <v>1334</v>
      </c>
      <c r="C9" s="785" t="s">
        <v>555</v>
      </c>
      <c r="D9" s="784"/>
      <c r="E9" s="784">
        <v>4000</v>
      </c>
      <c r="F9" s="784">
        <v>3689.68</v>
      </c>
      <c r="G9" s="784">
        <f t="shared" ref="G9:G20" si="2">E9-F9</f>
        <v>310.32000000000016</v>
      </c>
      <c r="H9" s="784">
        <f t="shared" si="0"/>
        <v>4000</v>
      </c>
      <c r="I9" s="802">
        <f t="shared" si="1"/>
        <v>4000</v>
      </c>
      <c r="J9" s="803"/>
      <c r="K9" s="802">
        <v>2013</v>
      </c>
      <c r="L9" s="802">
        <v>4000</v>
      </c>
      <c r="M9" s="825">
        <v>29000</v>
      </c>
      <c r="N9" s="825">
        <v>20000</v>
      </c>
      <c r="O9" s="825">
        <v>2000</v>
      </c>
      <c r="P9" s="1006">
        <v>2000</v>
      </c>
      <c r="Q9" s="1015"/>
    </row>
    <row r="10" spans="1:17" hidden="1">
      <c r="A10" s="773"/>
      <c r="B10" s="772">
        <v>1341</v>
      </c>
      <c r="C10" s="785" t="s">
        <v>556</v>
      </c>
      <c r="D10" s="784">
        <v>78000</v>
      </c>
      <c r="E10" s="784">
        <v>78000</v>
      </c>
      <c r="F10" s="784">
        <v>72700</v>
      </c>
      <c r="G10" s="784">
        <f t="shared" si="2"/>
        <v>5300</v>
      </c>
      <c r="H10" s="784">
        <f t="shared" si="0"/>
        <v>78000</v>
      </c>
      <c r="I10" s="802">
        <f t="shared" si="1"/>
        <v>78000</v>
      </c>
      <c r="J10" s="803">
        <v>4000</v>
      </c>
      <c r="K10" s="802">
        <v>85050</v>
      </c>
      <c r="L10" s="802">
        <v>86000</v>
      </c>
      <c r="M10" s="825">
        <v>91000</v>
      </c>
      <c r="N10" s="825">
        <v>91000</v>
      </c>
      <c r="O10" s="825">
        <v>85000</v>
      </c>
      <c r="P10" s="1006">
        <v>85000</v>
      </c>
      <c r="Q10" s="1015"/>
    </row>
    <row r="11" spans="1:17" hidden="1">
      <c r="A11" s="773"/>
      <c r="B11" s="772">
        <v>1342</v>
      </c>
      <c r="C11" s="785" t="s">
        <v>557</v>
      </c>
      <c r="D11" s="784">
        <v>2000</v>
      </c>
      <c r="E11" s="784">
        <v>3500</v>
      </c>
      <c r="F11" s="784">
        <v>3500</v>
      </c>
      <c r="G11" s="784">
        <f t="shared" si="2"/>
        <v>0</v>
      </c>
      <c r="H11" s="784">
        <f t="shared" si="0"/>
        <v>3500</v>
      </c>
      <c r="I11" s="802">
        <f t="shared" si="1"/>
        <v>3500</v>
      </c>
      <c r="J11" s="803">
        <v>3500</v>
      </c>
      <c r="K11" s="802">
        <v>7000</v>
      </c>
      <c r="L11" s="802">
        <v>7000</v>
      </c>
      <c r="M11" s="825">
        <v>0</v>
      </c>
      <c r="N11" s="825">
        <v>5000</v>
      </c>
      <c r="O11" s="825">
        <v>0</v>
      </c>
      <c r="P11" s="1006">
        <v>5000</v>
      </c>
      <c r="Q11" s="1015"/>
    </row>
    <row r="12" spans="1:17" hidden="1">
      <c r="A12" s="773"/>
      <c r="B12" s="772">
        <v>1343</v>
      </c>
      <c r="C12" s="785" t="s">
        <v>558</v>
      </c>
      <c r="D12" s="784">
        <v>40000</v>
      </c>
      <c r="E12" s="784">
        <v>40000</v>
      </c>
      <c r="F12" s="784">
        <v>18730</v>
      </c>
      <c r="G12" s="946">
        <f t="shared" si="2"/>
        <v>21270</v>
      </c>
      <c r="H12" s="784">
        <f t="shared" si="0"/>
        <v>40000</v>
      </c>
      <c r="I12" s="802">
        <f t="shared" si="1"/>
        <v>40000</v>
      </c>
      <c r="J12" s="803"/>
      <c r="K12" s="802">
        <v>37853</v>
      </c>
      <c r="L12" s="802">
        <v>40000</v>
      </c>
      <c r="M12" s="825">
        <v>45000</v>
      </c>
      <c r="N12" s="825">
        <v>45000</v>
      </c>
      <c r="O12" s="825">
        <v>35000</v>
      </c>
      <c r="P12" s="1006">
        <v>30000</v>
      </c>
      <c r="Q12" s="1015"/>
    </row>
    <row r="13" spans="1:17" hidden="1">
      <c r="A13" s="773"/>
      <c r="B13" s="772">
        <v>1345</v>
      </c>
      <c r="C13" s="785" t="s">
        <v>559</v>
      </c>
      <c r="D13" s="784"/>
      <c r="E13" s="784"/>
      <c r="F13" s="784"/>
      <c r="G13" s="946"/>
      <c r="H13" s="784"/>
      <c r="I13" s="802"/>
      <c r="J13" s="803"/>
      <c r="K13" s="802"/>
      <c r="L13" s="802"/>
      <c r="M13" s="825">
        <v>2170000</v>
      </c>
      <c r="N13" s="825">
        <v>2480000</v>
      </c>
      <c r="O13" s="825">
        <v>2600000</v>
      </c>
      <c r="P13" s="1006">
        <v>2800000</v>
      </c>
      <c r="Q13" s="1015"/>
    </row>
    <row r="14" spans="1:17" hidden="1">
      <c r="A14" s="773"/>
      <c r="B14" s="772">
        <v>1361</v>
      </c>
      <c r="C14" s="785" t="s">
        <v>560</v>
      </c>
      <c r="D14" s="784">
        <v>13000</v>
      </c>
      <c r="E14" s="784">
        <v>13000</v>
      </c>
      <c r="F14" s="784">
        <v>7797</v>
      </c>
      <c r="G14" s="784">
        <f t="shared" si="2"/>
        <v>5203</v>
      </c>
      <c r="H14" s="784">
        <f t="shared" si="0"/>
        <v>13000</v>
      </c>
      <c r="I14" s="802">
        <f t="shared" si="1"/>
        <v>13000</v>
      </c>
      <c r="J14" s="803"/>
      <c r="K14" s="802">
        <v>12340</v>
      </c>
      <c r="L14" s="802">
        <v>13000</v>
      </c>
      <c r="M14" s="825">
        <v>10000</v>
      </c>
      <c r="N14" s="825">
        <v>10000</v>
      </c>
      <c r="O14" s="825">
        <v>10000</v>
      </c>
      <c r="P14" s="1006">
        <v>10000</v>
      </c>
      <c r="Q14" s="1015"/>
    </row>
    <row r="15" spans="1:17" hidden="1">
      <c r="A15" s="773"/>
      <c r="B15" s="772">
        <v>1381</v>
      </c>
      <c r="C15" s="785" t="s">
        <v>561</v>
      </c>
      <c r="D15" s="784">
        <v>60000</v>
      </c>
      <c r="E15" s="784">
        <v>70000</v>
      </c>
      <c r="F15" s="784">
        <v>91684.6</v>
      </c>
      <c r="G15" s="946">
        <f>100000-F15</f>
        <v>8315.3999999999942</v>
      </c>
      <c r="H15" s="784">
        <f>G15+F15</f>
        <v>100000</v>
      </c>
      <c r="I15" s="802">
        <f t="shared" si="1"/>
        <v>100000</v>
      </c>
      <c r="J15" s="803"/>
      <c r="K15" s="802">
        <v>140881</v>
      </c>
      <c r="L15" s="802">
        <v>150000</v>
      </c>
      <c r="M15" s="825">
        <v>170000</v>
      </c>
      <c r="N15" s="825">
        <v>180000</v>
      </c>
      <c r="O15" s="825">
        <v>185000</v>
      </c>
      <c r="P15" s="1006">
        <v>185000</v>
      </c>
      <c r="Q15" s="1015"/>
    </row>
    <row r="16" spans="1:17" hidden="1">
      <c r="A16" s="773"/>
      <c r="B16" s="772">
        <v>1511</v>
      </c>
      <c r="C16" s="785" t="s">
        <v>562</v>
      </c>
      <c r="D16" s="784">
        <v>600000</v>
      </c>
      <c r="E16" s="784">
        <v>600000</v>
      </c>
      <c r="F16" s="784">
        <v>519740.61</v>
      </c>
      <c r="G16" s="784">
        <f t="shared" si="2"/>
        <v>80259.390000000014</v>
      </c>
      <c r="H16" s="784">
        <f t="shared" si="0"/>
        <v>600000</v>
      </c>
      <c r="I16" s="802">
        <f t="shared" si="1"/>
        <v>600000</v>
      </c>
      <c r="J16" s="803"/>
      <c r="K16" s="802">
        <v>532696</v>
      </c>
      <c r="L16" s="802">
        <v>600000</v>
      </c>
      <c r="M16" s="825">
        <v>550000</v>
      </c>
      <c r="N16" s="825">
        <v>550000</v>
      </c>
      <c r="O16" s="825">
        <v>550000</v>
      </c>
      <c r="P16" s="1006">
        <v>990000</v>
      </c>
      <c r="Q16" s="1015"/>
    </row>
    <row r="17" spans="1:19" ht="14" hidden="1" thickBot="1">
      <c r="A17" s="777" t="s">
        <v>563</v>
      </c>
      <c r="B17" s="778"/>
      <c r="C17" s="779"/>
      <c r="D17" s="782">
        <f t="shared" ref="D17:I17" si="3">SUM(D3:D16)</f>
        <v>16583000</v>
      </c>
      <c r="E17" s="782">
        <f t="shared" si="3"/>
        <v>16598500</v>
      </c>
      <c r="F17" s="782">
        <f t="shared" si="3"/>
        <v>11805065.42</v>
      </c>
      <c r="G17" s="782">
        <f t="shared" si="3"/>
        <v>7976086.8500000006</v>
      </c>
      <c r="H17" s="782">
        <f t="shared" si="3"/>
        <v>19781152.27</v>
      </c>
      <c r="I17" s="801">
        <f t="shared" si="3"/>
        <v>17432505.27</v>
      </c>
      <c r="J17" s="864"/>
      <c r="K17" s="801">
        <f t="shared" ref="K17:P17" si="4">SUM(K3:K16)</f>
        <v>17687682</v>
      </c>
      <c r="L17" s="801">
        <f t="shared" si="4"/>
        <v>18730000</v>
      </c>
      <c r="M17" s="865">
        <f t="shared" si="4"/>
        <v>26935007</v>
      </c>
      <c r="N17" s="865">
        <f t="shared" si="4"/>
        <v>27981000</v>
      </c>
      <c r="O17" s="865">
        <f t="shared" si="4"/>
        <v>32727000</v>
      </c>
      <c r="P17" s="835">
        <f t="shared" si="4"/>
        <v>35157000</v>
      </c>
      <c r="Q17" s="1015"/>
    </row>
    <row r="18" spans="1:19" hidden="1">
      <c r="A18" s="942"/>
      <c r="B18" s="943">
        <v>4111</v>
      </c>
      <c r="C18" s="790" t="s">
        <v>564</v>
      </c>
      <c r="D18" s="944"/>
      <c r="E18" s="944">
        <v>2179750</v>
      </c>
      <c r="F18" s="944">
        <v>2148750</v>
      </c>
      <c r="G18" s="944">
        <f t="shared" si="2"/>
        <v>31000</v>
      </c>
      <c r="H18" s="944">
        <f t="shared" si="0"/>
        <v>2179750</v>
      </c>
      <c r="I18" s="945"/>
      <c r="J18" s="866"/>
      <c r="K18" s="945"/>
      <c r="L18" s="945"/>
      <c r="M18" s="855">
        <v>32000</v>
      </c>
      <c r="N18" s="855"/>
      <c r="O18" s="855"/>
      <c r="P18" s="1007"/>
      <c r="Q18" s="1015"/>
    </row>
    <row r="19" spans="1:19" ht="14" hidden="1" thickBot="1">
      <c r="A19" s="996"/>
      <c r="B19" s="997">
        <v>4111</v>
      </c>
      <c r="C19" s="998" t="s">
        <v>565</v>
      </c>
      <c r="D19" s="999"/>
      <c r="E19" s="999"/>
      <c r="F19" s="999"/>
      <c r="G19" s="999"/>
      <c r="H19" s="999"/>
      <c r="I19" s="1000"/>
      <c r="J19" s="1001">
        <v>56543.59</v>
      </c>
      <c r="K19" s="1000">
        <v>310545</v>
      </c>
      <c r="L19" s="1000"/>
      <c r="M19" s="992">
        <v>95000</v>
      </c>
      <c r="N19" s="992"/>
      <c r="O19" s="992"/>
      <c r="P19" s="1008"/>
      <c r="Q19" s="1015"/>
    </row>
    <row r="20" spans="1:19">
      <c r="A20" s="942"/>
      <c r="B20" s="943">
        <v>4112</v>
      </c>
      <c r="C20" s="790" t="s">
        <v>566</v>
      </c>
      <c r="D20" s="944">
        <v>342200</v>
      </c>
      <c r="E20" s="944">
        <v>368000</v>
      </c>
      <c r="F20" s="944">
        <v>245336</v>
      </c>
      <c r="G20" s="944">
        <f t="shared" si="2"/>
        <v>122664</v>
      </c>
      <c r="H20" s="944">
        <f t="shared" si="0"/>
        <v>368000</v>
      </c>
      <c r="I20" s="945">
        <f t="shared" si="1"/>
        <v>368000</v>
      </c>
      <c r="J20" s="1002">
        <v>27000</v>
      </c>
      <c r="K20" s="945">
        <v>296253</v>
      </c>
      <c r="L20" s="945">
        <v>368000</v>
      </c>
      <c r="M20" s="855">
        <v>368000</v>
      </c>
      <c r="N20" s="855">
        <v>368000</v>
      </c>
      <c r="O20" s="855">
        <v>368000</v>
      </c>
      <c r="P20" s="1007">
        <v>368000</v>
      </c>
      <c r="Q20" s="1015">
        <v>79400</v>
      </c>
    </row>
    <row r="21" spans="1:19">
      <c r="A21" s="947"/>
      <c r="B21" s="948">
        <v>4122</v>
      </c>
      <c r="C21" s="807" t="s">
        <v>1228</v>
      </c>
      <c r="D21" s="902"/>
      <c r="E21" s="902"/>
      <c r="F21" s="902"/>
      <c r="G21" s="902"/>
      <c r="H21" s="902"/>
      <c r="I21" s="903"/>
      <c r="J21" s="1004"/>
      <c r="K21" s="903"/>
      <c r="L21" s="903"/>
      <c r="M21" s="853"/>
      <c r="N21" s="853"/>
      <c r="O21" s="853"/>
      <c r="P21" s="1009"/>
      <c r="Q21" s="1015">
        <v>1346000</v>
      </c>
      <c r="S21" s="150"/>
    </row>
    <row r="22" spans="1:19" hidden="1">
      <c r="A22" s="773"/>
      <c r="B22" s="772">
        <v>4222</v>
      </c>
      <c r="C22" s="949" t="s">
        <v>567</v>
      </c>
      <c r="D22" s="784"/>
      <c r="E22" s="784"/>
      <c r="F22" s="784"/>
      <c r="G22" s="950"/>
      <c r="H22" s="950"/>
      <c r="I22" s="820">
        <v>10000000</v>
      </c>
      <c r="J22" s="803"/>
      <c r="K22" s="802"/>
      <c r="L22" s="802"/>
      <c r="M22" s="825"/>
      <c r="N22" s="825"/>
      <c r="O22" s="825"/>
      <c r="P22" s="1006"/>
      <c r="Q22" s="1015"/>
    </row>
    <row r="23" spans="1:19" hidden="1">
      <c r="A23" s="1097" t="s">
        <v>569</v>
      </c>
      <c r="B23" s="1098"/>
      <c r="C23" s="1098"/>
      <c r="D23" s="792">
        <f t="shared" ref="D23:I23" si="5">SUM(D18:D22)</f>
        <v>342200</v>
      </c>
      <c r="E23" s="792">
        <f t="shared" si="5"/>
        <v>2547750</v>
      </c>
      <c r="F23" s="792">
        <f t="shared" si="5"/>
        <v>2394086</v>
      </c>
      <c r="G23" s="792">
        <f t="shared" si="5"/>
        <v>153664</v>
      </c>
      <c r="H23" s="792">
        <f t="shared" si="5"/>
        <v>2547750</v>
      </c>
      <c r="I23" s="792">
        <f t="shared" si="5"/>
        <v>10368000</v>
      </c>
      <c r="J23" s="803"/>
      <c r="K23" s="792">
        <f>SUM(K19:K22)</f>
        <v>606798</v>
      </c>
      <c r="L23" s="792">
        <f>SUM(L19:L22)</f>
        <v>368000</v>
      </c>
      <c r="M23" s="827">
        <f>SUM(M18:M22)</f>
        <v>495000</v>
      </c>
      <c r="N23" s="827">
        <f>SUM(N18:N22)</f>
        <v>368000</v>
      </c>
      <c r="O23" s="827">
        <f>SUM(O18:O22)</f>
        <v>368000</v>
      </c>
      <c r="P23" s="834">
        <f>SUM(P18:P22)</f>
        <v>368000</v>
      </c>
      <c r="Q23" s="1015"/>
    </row>
    <row r="24" spans="1:19" hidden="1">
      <c r="A24" s="773">
        <v>1036</v>
      </c>
      <c r="B24" s="772">
        <v>2111</v>
      </c>
      <c r="C24" s="885" t="s">
        <v>570</v>
      </c>
      <c r="D24" s="783"/>
      <c r="E24" s="783"/>
      <c r="F24" s="783"/>
      <c r="G24" s="783"/>
      <c r="H24" s="783"/>
      <c r="I24" s="783"/>
      <c r="J24" s="803"/>
      <c r="K24" s="783"/>
      <c r="L24" s="783"/>
      <c r="M24" s="884"/>
      <c r="N24" s="884"/>
      <c r="O24" s="825">
        <v>60000</v>
      </c>
      <c r="P24" s="1006"/>
      <c r="Q24" s="1015"/>
    </row>
    <row r="25" spans="1:19" hidden="1">
      <c r="A25" s="947">
        <v>2310</v>
      </c>
      <c r="B25" s="948">
        <v>2132</v>
      </c>
      <c r="C25" s="807" t="s">
        <v>571</v>
      </c>
      <c r="D25" s="902">
        <v>40000</v>
      </c>
      <c r="E25" s="902">
        <v>40000</v>
      </c>
      <c r="F25" s="902"/>
      <c r="G25" s="902">
        <f>E25-F25</f>
        <v>40000</v>
      </c>
      <c r="H25" s="902">
        <f t="shared" ref="H25:H40" si="6">G25+F25</f>
        <v>40000</v>
      </c>
      <c r="I25" s="903">
        <f>H25</f>
        <v>40000</v>
      </c>
      <c r="J25" s="860"/>
      <c r="K25" s="903"/>
      <c r="L25" s="903">
        <v>40000</v>
      </c>
      <c r="M25" s="853">
        <v>40000</v>
      </c>
      <c r="N25" s="853">
        <v>40000</v>
      </c>
      <c r="O25" s="853">
        <v>260000</v>
      </c>
      <c r="P25" s="1009">
        <v>250000</v>
      </c>
      <c r="Q25" s="1015"/>
    </row>
    <row r="26" spans="1:19" hidden="1">
      <c r="A26" s="773">
        <v>2329</v>
      </c>
      <c r="B26" s="772">
        <v>2111</v>
      </c>
      <c r="C26" s="785" t="s">
        <v>572</v>
      </c>
      <c r="D26" s="784">
        <v>4300000</v>
      </c>
      <c r="E26" s="784">
        <v>4300000</v>
      </c>
      <c r="F26" s="784">
        <v>3712414.18</v>
      </c>
      <c r="G26" s="784">
        <f>E26-F26</f>
        <v>587585.81999999983</v>
      </c>
      <c r="H26" s="784">
        <f t="shared" si="6"/>
        <v>4300000</v>
      </c>
      <c r="I26" s="802">
        <f>H26</f>
        <v>4300000</v>
      </c>
      <c r="J26" s="803"/>
      <c r="K26" s="802">
        <v>2205174</v>
      </c>
      <c r="L26" s="802">
        <v>4300000</v>
      </c>
      <c r="M26" s="825">
        <v>4400000</v>
      </c>
      <c r="N26" s="825">
        <v>4400000</v>
      </c>
      <c r="O26" s="825">
        <v>4400000</v>
      </c>
      <c r="P26" s="1006">
        <v>5000000</v>
      </c>
      <c r="Q26" s="1015"/>
    </row>
    <row r="27" spans="1:19" hidden="1">
      <c r="A27" s="773">
        <v>3111</v>
      </c>
      <c r="B27" s="772">
        <v>2111</v>
      </c>
      <c r="C27" s="785" t="s">
        <v>573</v>
      </c>
      <c r="D27" s="784"/>
      <c r="E27" s="784"/>
      <c r="F27" s="784"/>
      <c r="G27" s="784"/>
      <c r="H27" s="784"/>
      <c r="I27" s="802"/>
      <c r="J27" s="803"/>
      <c r="K27" s="802">
        <v>11437</v>
      </c>
      <c r="L27" s="802">
        <v>30000</v>
      </c>
      <c r="M27" s="825">
        <v>40000</v>
      </c>
      <c r="N27" s="825">
        <v>40000</v>
      </c>
      <c r="O27" s="825">
        <v>40000</v>
      </c>
      <c r="P27" s="1006">
        <v>40000</v>
      </c>
      <c r="Q27" s="1015"/>
    </row>
    <row r="28" spans="1:19" hidden="1">
      <c r="A28" s="773">
        <v>3613</v>
      </c>
      <c r="B28" s="772">
        <v>2132</v>
      </c>
      <c r="C28" s="785" t="s">
        <v>574</v>
      </c>
      <c r="D28" s="784">
        <v>10000</v>
      </c>
      <c r="E28" s="784">
        <v>10000</v>
      </c>
      <c r="F28" s="784">
        <v>2000</v>
      </c>
      <c r="G28" s="784">
        <f>E28-F28</f>
        <v>8000</v>
      </c>
      <c r="H28" s="784">
        <f>G28+F28</f>
        <v>10000</v>
      </c>
      <c r="I28" s="802">
        <f t="shared" ref="I28:I40" si="7">H28</f>
        <v>10000</v>
      </c>
      <c r="J28" s="803"/>
      <c r="K28" s="802">
        <v>10000</v>
      </c>
      <c r="L28" s="802">
        <v>10000</v>
      </c>
      <c r="M28" s="825">
        <v>20000</v>
      </c>
      <c r="N28" s="825">
        <v>20000</v>
      </c>
      <c r="O28" s="825">
        <v>21000</v>
      </c>
      <c r="P28" s="1006">
        <v>20000</v>
      </c>
      <c r="Q28" s="1015"/>
    </row>
    <row r="29" spans="1:19" hidden="1">
      <c r="A29" s="773">
        <v>3631</v>
      </c>
      <c r="B29" s="772">
        <v>2111</v>
      </c>
      <c r="C29" s="785" t="s">
        <v>575</v>
      </c>
      <c r="D29" s="784"/>
      <c r="E29" s="784">
        <v>20000</v>
      </c>
      <c r="F29" s="784">
        <v>34000</v>
      </c>
      <c r="G29" s="784">
        <v>0</v>
      </c>
      <c r="H29" s="784">
        <f>G29+F29</f>
        <v>34000</v>
      </c>
      <c r="I29" s="802">
        <f t="shared" si="7"/>
        <v>34000</v>
      </c>
      <c r="J29" s="803">
        <v>155000</v>
      </c>
      <c r="K29" s="802">
        <v>198000</v>
      </c>
      <c r="L29" s="802"/>
      <c r="M29" s="825">
        <v>10000</v>
      </c>
      <c r="N29" s="825"/>
      <c r="O29" s="825"/>
      <c r="P29" s="1006"/>
      <c r="Q29" s="1015"/>
    </row>
    <row r="30" spans="1:19" hidden="1">
      <c r="A30" s="773">
        <v>3639</v>
      </c>
      <c r="B30" s="772">
        <v>2119</v>
      </c>
      <c r="C30" s="785" t="s">
        <v>576</v>
      </c>
      <c r="D30" s="784"/>
      <c r="E30" s="784"/>
      <c r="F30" s="784"/>
      <c r="G30" s="784"/>
      <c r="H30" s="784"/>
      <c r="I30" s="802"/>
      <c r="J30" s="803"/>
      <c r="K30" s="802"/>
      <c r="L30" s="802"/>
      <c r="M30" s="825"/>
      <c r="N30" s="825"/>
      <c r="O30" s="825">
        <v>27000</v>
      </c>
      <c r="P30" s="1006"/>
      <c r="Q30" s="1015"/>
    </row>
    <row r="31" spans="1:19" hidden="1">
      <c r="A31" s="773">
        <v>3639</v>
      </c>
      <c r="B31" s="772">
        <v>2131</v>
      </c>
      <c r="C31" s="785" t="s">
        <v>577</v>
      </c>
      <c r="D31" s="784"/>
      <c r="E31" s="784">
        <v>218000</v>
      </c>
      <c r="F31" s="784">
        <v>217922</v>
      </c>
      <c r="G31" s="784">
        <f>E31-F31</f>
        <v>78</v>
      </c>
      <c r="H31" s="784">
        <f t="shared" si="6"/>
        <v>218000</v>
      </c>
      <c r="I31" s="802">
        <f t="shared" si="7"/>
        <v>218000</v>
      </c>
      <c r="J31" s="803"/>
      <c r="K31" s="802"/>
      <c r="L31" s="802"/>
      <c r="M31" s="825">
        <v>15000</v>
      </c>
      <c r="N31" s="825"/>
      <c r="O31" s="825">
        <v>9000</v>
      </c>
      <c r="P31" s="1006"/>
      <c r="Q31" s="1015"/>
    </row>
    <row r="32" spans="1:19" hidden="1">
      <c r="A32" s="892">
        <v>3639</v>
      </c>
      <c r="B32" s="893">
        <v>3111</v>
      </c>
      <c r="C32" s="894" t="s">
        <v>578</v>
      </c>
      <c r="D32" s="895"/>
      <c r="E32" s="895"/>
      <c r="F32" s="895"/>
      <c r="G32" s="895"/>
      <c r="H32" s="895"/>
      <c r="I32" s="896"/>
      <c r="J32" s="897"/>
      <c r="K32" s="896"/>
      <c r="L32" s="896"/>
      <c r="M32" s="898"/>
      <c r="N32" s="898"/>
      <c r="O32" s="898"/>
      <c r="P32" s="1010">
        <v>24000000</v>
      </c>
      <c r="Q32" s="1015"/>
    </row>
    <row r="33" spans="1:17" hidden="1">
      <c r="A33" s="773">
        <v>3725</v>
      </c>
      <c r="B33" s="772">
        <v>2111</v>
      </c>
      <c r="C33" s="785" t="s">
        <v>580</v>
      </c>
      <c r="D33" s="784">
        <v>320000</v>
      </c>
      <c r="E33" s="784">
        <v>320000</v>
      </c>
      <c r="F33" s="784">
        <v>233974</v>
      </c>
      <c r="G33" s="784">
        <f>E33-F33</f>
        <v>86026</v>
      </c>
      <c r="H33" s="784">
        <f t="shared" si="6"/>
        <v>320000</v>
      </c>
      <c r="I33" s="802">
        <f t="shared" si="7"/>
        <v>320000</v>
      </c>
      <c r="J33" s="803"/>
      <c r="K33" s="802">
        <v>266159</v>
      </c>
      <c r="L33" s="802">
        <v>320000</v>
      </c>
      <c r="M33" s="825">
        <v>320000</v>
      </c>
      <c r="N33" s="825">
        <v>400000</v>
      </c>
      <c r="O33" s="825">
        <v>400000</v>
      </c>
      <c r="P33" s="1006">
        <v>450000</v>
      </c>
      <c r="Q33" s="1015"/>
    </row>
    <row r="34" spans="1:17" hidden="1">
      <c r="A34" s="773">
        <v>3726</v>
      </c>
      <c r="B34" s="772">
        <v>2111</v>
      </c>
      <c r="C34" s="785" t="s">
        <v>581</v>
      </c>
      <c r="D34" s="784">
        <v>260000</v>
      </c>
      <c r="E34" s="784">
        <v>320000</v>
      </c>
      <c r="F34" s="784">
        <v>322156</v>
      </c>
      <c r="G34" s="784">
        <v>0</v>
      </c>
      <c r="H34" s="784">
        <f t="shared" si="6"/>
        <v>322156</v>
      </c>
      <c r="I34" s="802">
        <v>400000</v>
      </c>
      <c r="J34" s="803">
        <v>5000</v>
      </c>
      <c r="K34" s="802">
        <v>421161</v>
      </c>
      <c r="L34" s="802">
        <v>430000</v>
      </c>
      <c r="M34" s="825">
        <v>470000</v>
      </c>
      <c r="N34" s="825">
        <v>480000</v>
      </c>
      <c r="O34" s="825">
        <v>490000</v>
      </c>
      <c r="P34" s="1006">
        <v>530000</v>
      </c>
      <c r="Q34" s="1015"/>
    </row>
    <row r="35" spans="1:17" hidden="1">
      <c r="A35" s="773">
        <v>6171</v>
      </c>
      <c r="B35" s="772">
        <v>2111</v>
      </c>
      <c r="C35" s="785" t="s">
        <v>582</v>
      </c>
      <c r="D35" s="784">
        <v>1000</v>
      </c>
      <c r="E35" s="784">
        <v>4500</v>
      </c>
      <c r="F35" s="784">
        <v>14412</v>
      </c>
      <c r="G35" s="784">
        <v>0</v>
      </c>
      <c r="H35" s="784">
        <f t="shared" si="6"/>
        <v>14412</v>
      </c>
      <c r="I35" s="802">
        <f t="shared" si="7"/>
        <v>14412</v>
      </c>
      <c r="J35" s="803"/>
      <c r="K35" s="802">
        <v>3034</v>
      </c>
      <c r="L35" s="802">
        <v>5000</v>
      </c>
      <c r="M35" s="825">
        <v>6000</v>
      </c>
      <c r="N35" s="825">
        <v>5000</v>
      </c>
      <c r="O35" s="825">
        <v>2000</v>
      </c>
      <c r="P35" s="1006">
        <v>5000</v>
      </c>
      <c r="Q35" s="1015"/>
    </row>
    <row r="36" spans="1:17" hidden="1">
      <c r="A36" s="773">
        <v>6171</v>
      </c>
      <c r="B36" s="772">
        <v>2112</v>
      </c>
      <c r="C36" s="785" t="s">
        <v>583</v>
      </c>
      <c r="D36" s="784">
        <v>5000</v>
      </c>
      <c r="E36" s="784">
        <v>5000</v>
      </c>
      <c r="F36" s="784">
        <v>3850</v>
      </c>
      <c r="G36" s="784">
        <f>E36-F36</f>
        <v>1150</v>
      </c>
      <c r="H36" s="784">
        <f t="shared" si="6"/>
        <v>5000</v>
      </c>
      <c r="I36" s="802">
        <f t="shared" si="7"/>
        <v>5000</v>
      </c>
      <c r="J36" s="803"/>
      <c r="K36" s="802">
        <v>3862</v>
      </c>
      <c r="L36" s="802">
        <v>5000</v>
      </c>
      <c r="M36" s="825">
        <v>39000</v>
      </c>
      <c r="N36" s="825">
        <v>5000</v>
      </c>
      <c r="O36" s="825">
        <v>2000</v>
      </c>
      <c r="P36" s="1006">
        <v>2000</v>
      </c>
      <c r="Q36" s="1015"/>
    </row>
    <row r="37" spans="1:17" hidden="1">
      <c r="A37" s="773">
        <v>6171</v>
      </c>
      <c r="B37" s="772">
        <v>2132</v>
      </c>
      <c r="C37" s="785" t="s">
        <v>584</v>
      </c>
      <c r="D37" s="784">
        <v>2000</v>
      </c>
      <c r="E37" s="784">
        <v>2000</v>
      </c>
      <c r="F37" s="784"/>
      <c r="G37" s="784">
        <f>E37-F37</f>
        <v>2000</v>
      </c>
      <c r="H37" s="784">
        <f>G37+F37</f>
        <v>2000</v>
      </c>
      <c r="I37" s="802">
        <f t="shared" si="7"/>
        <v>2000</v>
      </c>
      <c r="J37" s="803"/>
      <c r="K37" s="802">
        <v>1212</v>
      </c>
      <c r="L37" s="802">
        <v>2000</v>
      </c>
      <c r="M37" s="825"/>
      <c r="N37" s="825"/>
      <c r="O37" s="825"/>
      <c r="P37" s="1006"/>
      <c r="Q37" s="1015"/>
    </row>
    <row r="38" spans="1:17" hidden="1">
      <c r="A38" s="773">
        <v>6171</v>
      </c>
      <c r="B38" s="772">
        <v>2212</v>
      </c>
      <c r="C38" s="785" t="s">
        <v>585</v>
      </c>
      <c r="D38" s="784"/>
      <c r="E38" s="784">
        <v>500</v>
      </c>
      <c r="F38" s="784">
        <v>1500</v>
      </c>
      <c r="G38" s="784">
        <v>0</v>
      </c>
      <c r="H38" s="784">
        <f t="shared" si="6"/>
        <v>1500</v>
      </c>
      <c r="I38" s="802">
        <f t="shared" si="7"/>
        <v>1500</v>
      </c>
      <c r="J38" s="803"/>
      <c r="K38" s="802">
        <v>5000</v>
      </c>
      <c r="L38" s="802">
        <v>1500</v>
      </c>
      <c r="M38" s="825"/>
      <c r="N38" s="825">
        <v>2000</v>
      </c>
      <c r="O38" s="825">
        <v>1000</v>
      </c>
      <c r="P38" s="1006">
        <v>10000</v>
      </c>
      <c r="Q38" s="1015"/>
    </row>
    <row r="39" spans="1:17" hidden="1">
      <c r="A39" s="892">
        <v>6171</v>
      </c>
      <c r="B39" s="893">
        <v>3113</v>
      </c>
      <c r="C39" s="894" t="s">
        <v>586</v>
      </c>
      <c r="D39" s="895"/>
      <c r="E39" s="895"/>
      <c r="F39" s="895"/>
      <c r="G39" s="895"/>
      <c r="H39" s="895"/>
      <c r="I39" s="896"/>
      <c r="J39" s="897"/>
      <c r="K39" s="896"/>
      <c r="L39" s="896"/>
      <c r="M39" s="898"/>
      <c r="N39" s="898"/>
      <c r="O39" s="898"/>
      <c r="P39" s="1010"/>
      <c r="Q39" s="1015"/>
    </row>
    <row r="40" spans="1:17" hidden="1">
      <c r="A40" s="773">
        <v>6310</v>
      </c>
      <c r="B40" s="772">
        <v>2141</v>
      </c>
      <c r="C40" s="785" t="s">
        <v>587</v>
      </c>
      <c r="D40" s="784">
        <v>500</v>
      </c>
      <c r="E40" s="784">
        <v>500</v>
      </c>
      <c r="F40" s="784"/>
      <c r="G40" s="784">
        <f>E40-F40</f>
        <v>500</v>
      </c>
      <c r="H40" s="784">
        <f t="shared" si="6"/>
        <v>500</v>
      </c>
      <c r="I40" s="802">
        <f t="shared" si="7"/>
        <v>500</v>
      </c>
      <c r="J40" s="803"/>
      <c r="K40" s="802"/>
      <c r="L40" s="802">
        <v>500</v>
      </c>
      <c r="M40" s="825">
        <v>930000</v>
      </c>
      <c r="N40" s="825">
        <v>1872000</v>
      </c>
      <c r="O40" s="825">
        <v>2300000</v>
      </c>
      <c r="P40" s="1006">
        <v>1500000</v>
      </c>
      <c r="Q40" s="1015"/>
    </row>
    <row r="41" spans="1:17" hidden="1">
      <c r="A41" s="1099" t="s">
        <v>588</v>
      </c>
      <c r="B41" s="1100"/>
      <c r="C41" s="1101"/>
      <c r="D41" s="849">
        <f t="shared" ref="D41:I41" si="8">SUM(D25:D40)</f>
        <v>4938500</v>
      </c>
      <c r="E41" s="849">
        <f t="shared" si="8"/>
        <v>5240500</v>
      </c>
      <c r="F41" s="951">
        <f t="shared" si="8"/>
        <v>4542228.18</v>
      </c>
      <c r="G41" s="951">
        <f t="shared" si="8"/>
        <v>725339.81999999983</v>
      </c>
      <c r="H41" s="951">
        <f t="shared" si="8"/>
        <v>5267568</v>
      </c>
      <c r="I41" s="850">
        <f t="shared" si="8"/>
        <v>5345412</v>
      </c>
      <c r="J41" s="851"/>
      <c r="K41" s="850">
        <f t="shared" ref="K41:N41" si="9">SUM(K25:K40)</f>
        <v>3125039</v>
      </c>
      <c r="L41" s="850">
        <f t="shared" si="9"/>
        <v>5144000</v>
      </c>
      <c r="M41" s="852">
        <f t="shared" si="9"/>
        <v>6290000</v>
      </c>
      <c r="N41" s="852">
        <f t="shared" si="9"/>
        <v>7264000</v>
      </c>
      <c r="O41" s="852">
        <f>SUM(O24:O40)</f>
        <v>8012000</v>
      </c>
      <c r="P41" s="1011">
        <f>SUM(P24:P40)-P32-P39</f>
        <v>7807000</v>
      </c>
      <c r="Q41" s="1015"/>
    </row>
    <row r="42" spans="1:17" ht="14" hidden="1" thickBot="1">
      <c r="A42" s="1102" t="s">
        <v>589</v>
      </c>
      <c r="B42" s="1103"/>
      <c r="C42" s="1104"/>
      <c r="D42" s="782" t="e">
        <f>#REF!</f>
        <v>#REF!</v>
      </c>
      <c r="E42" s="782" t="e">
        <f>#REF!</f>
        <v>#REF!</v>
      </c>
      <c r="F42" s="782" t="e">
        <f>#REF!</f>
        <v>#REF!</v>
      </c>
      <c r="G42" s="782" t="e">
        <f>#REF!</f>
        <v>#REF!</v>
      </c>
      <c r="H42" s="782" t="e">
        <f>G42+F42</f>
        <v>#REF!</v>
      </c>
      <c r="I42" s="791" t="e">
        <f>#REF!</f>
        <v>#REF!</v>
      </c>
      <c r="J42" s="857"/>
      <c r="K42" s="791"/>
      <c r="L42" s="822"/>
      <c r="M42" s="858"/>
      <c r="N42" s="858">
        <f>N32+N39</f>
        <v>0</v>
      </c>
      <c r="O42" s="858">
        <f>O32+O39</f>
        <v>0</v>
      </c>
      <c r="P42" s="1012">
        <f>P32+P39</f>
        <v>24000000</v>
      </c>
      <c r="Q42" s="1015"/>
    </row>
    <row r="43" spans="1:17" ht="14" hidden="1" thickBot="1">
      <c r="A43" s="1105" t="s">
        <v>590</v>
      </c>
      <c r="B43" s="1106"/>
      <c r="C43" s="1107"/>
      <c r="D43" s="793" t="e">
        <f t="shared" ref="D43:I43" si="10">D17+D23+D41+D42</f>
        <v>#REF!</v>
      </c>
      <c r="E43" s="793" t="e">
        <f t="shared" si="10"/>
        <v>#REF!</v>
      </c>
      <c r="F43" s="793" t="e">
        <f t="shared" si="10"/>
        <v>#REF!</v>
      </c>
      <c r="G43" s="793" t="e">
        <f t="shared" si="10"/>
        <v>#REF!</v>
      </c>
      <c r="H43" s="793" t="e">
        <f t="shared" si="10"/>
        <v>#REF!</v>
      </c>
      <c r="I43" s="794" t="e">
        <f t="shared" si="10"/>
        <v>#REF!</v>
      </c>
      <c r="J43" s="814"/>
      <c r="K43" s="794">
        <f>K17+K23+K41</f>
        <v>21419519</v>
      </c>
      <c r="L43" s="823">
        <f>L17+L23+L41</f>
        <v>24242000</v>
      </c>
      <c r="M43" s="865">
        <f>M17+M23+M41+M42</f>
        <v>33720007</v>
      </c>
      <c r="N43" s="865">
        <f>N17+N23+N41+N42</f>
        <v>35613000</v>
      </c>
      <c r="O43" s="858">
        <f>O17+O23+O41+O42</f>
        <v>41107000</v>
      </c>
      <c r="P43" s="1012">
        <f>P17+P23+P41+P42</f>
        <v>67332000</v>
      </c>
      <c r="Q43" s="1015">
        <f>SUM(Q3:Q42)</f>
        <v>1425400</v>
      </c>
    </row>
    <row r="44" spans="1:17" hidden="1">
      <c r="A44" s="952"/>
      <c r="B44" s="952"/>
      <c r="C44" s="788"/>
      <c r="D44" s="787"/>
      <c r="E44" s="787"/>
      <c r="F44" s="787"/>
      <c r="G44" s="953"/>
      <c r="H44" s="954"/>
      <c r="I44" s="954"/>
      <c r="J44" s="795"/>
      <c r="K44" s="954"/>
      <c r="L44" s="954"/>
      <c r="M44" s="826"/>
      <c r="N44" s="826"/>
      <c r="O44" s="826"/>
      <c r="P44" s="826"/>
      <c r="Q44" s="1015"/>
    </row>
    <row r="45" spans="1:17" ht="36" hidden="1">
      <c r="A45" s="867"/>
      <c r="B45" s="955">
        <v>8123</v>
      </c>
      <c r="C45" s="868" t="s">
        <v>591</v>
      </c>
      <c r="D45" s="869"/>
      <c r="E45" s="869"/>
      <c r="F45" s="869"/>
      <c r="G45" s="869"/>
      <c r="H45" s="869"/>
      <c r="I45" s="869"/>
      <c r="J45" s="854" t="s">
        <v>592</v>
      </c>
      <c r="K45" s="869"/>
      <c r="L45" s="870"/>
      <c r="M45" s="871"/>
      <c r="N45" s="871"/>
      <c r="O45" s="855"/>
      <c r="P45" s="1007"/>
      <c r="Q45" s="1015"/>
    </row>
    <row r="46" spans="1:17" ht="14" thickBot="1">
      <c r="A46" s="872">
        <v>8115</v>
      </c>
      <c r="B46" s="873">
        <v>8115</v>
      </c>
      <c r="C46" s="874" t="s">
        <v>593</v>
      </c>
      <c r="D46" s="875">
        <f>11600200+10650000+200000+850000</f>
        <v>23300200</v>
      </c>
      <c r="E46" s="875">
        <v>25571150</v>
      </c>
      <c r="F46" s="875">
        <f>16406358.89+45150</f>
        <v>16451508.890000001</v>
      </c>
      <c r="G46" s="875" t="e">
        <f>-(G43-G191)</f>
        <v>#REF!</v>
      </c>
      <c r="H46" s="875" t="e">
        <f>-(H43-H191)</f>
        <v>#REF!</v>
      </c>
      <c r="I46" s="875" t="e">
        <f>-(I43-I191)</f>
        <v>#REF!</v>
      </c>
      <c r="J46" s="864">
        <v>-51105.41</v>
      </c>
      <c r="K46" s="875"/>
      <c r="L46" s="875">
        <v>11233929</v>
      </c>
      <c r="M46" s="876">
        <f>M191-M43</f>
        <v>-12518900</v>
      </c>
      <c r="N46" s="876">
        <f>N191-N43</f>
        <v>1576100</v>
      </c>
      <c r="O46" s="876">
        <v>-6856105</v>
      </c>
      <c r="P46" s="1013">
        <f>33991000+1210000</f>
        <v>35201000</v>
      </c>
      <c r="Q46" s="1015">
        <v>33957287.469999999</v>
      </c>
    </row>
    <row r="47" spans="1:17" ht="14" thickBot="1">
      <c r="A47" s="1108" t="s">
        <v>594</v>
      </c>
      <c r="B47" s="1109"/>
      <c r="C47" s="1110"/>
      <c r="D47" s="793" t="e">
        <f t="shared" ref="D47:I47" si="11">SUM(D43:D46)</f>
        <v>#REF!</v>
      </c>
      <c r="E47" s="793" t="e">
        <f t="shared" si="11"/>
        <v>#REF!</v>
      </c>
      <c r="F47" s="793" t="e">
        <f t="shared" si="11"/>
        <v>#REF!</v>
      </c>
      <c r="G47" s="793" t="e">
        <f t="shared" si="11"/>
        <v>#REF!</v>
      </c>
      <c r="H47" s="793" t="e">
        <f t="shared" si="11"/>
        <v>#REF!</v>
      </c>
      <c r="I47" s="794" t="e">
        <f t="shared" si="11"/>
        <v>#REF!</v>
      </c>
      <c r="J47" s="815"/>
      <c r="K47" s="794">
        <f>SUM(K43:K46)</f>
        <v>21419519</v>
      </c>
      <c r="L47" s="823">
        <f>SUM(L43:L46)</f>
        <v>35475929</v>
      </c>
      <c r="M47" s="878">
        <f>SUM(M43:M46)</f>
        <v>21201107</v>
      </c>
      <c r="N47" s="878">
        <f>SUM(N43:N46)</f>
        <v>37189100</v>
      </c>
      <c r="O47" s="887">
        <f>O43+O45+O46</f>
        <v>34250895</v>
      </c>
      <c r="P47" s="1014">
        <f>P43+P45+P46</f>
        <v>102533000</v>
      </c>
      <c r="Q47" s="1017">
        <f>SUM(Q43:Q46)</f>
        <v>35382687.469999999</v>
      </c>
    </row>
    <row r="48" spans="1:17">
      <c r="A48" s="487"/>
      <c r="B48" s="487"/>
      <c r="C48" s="487"/>
      <c r="D48" s="789"/>
      <c r="E48" s="789"/>
      <c r="F48" s="789"/>
      <c r="G48" s="789"/>
      <c r="H48" s="789"/>
      <c r="I48" s="789"/>
      <c r="J48" s="900"/>
      <c r="K48" s="789"/>
      <c r="L48" s="789"/>
      <c r="M48" s="831"/>
      <c r="N48" s="831"/>
      <c r="O48" s="826"/>
      <c r="P48" s="826"/>
    </row>
    <row r="49" spans="1:16" hidden="1">
      <c r="A49" s="487"/>
      <c r="B49" s="487"/>
      <c r="C49" s="487"/>
      <c r="D49" s="789"/>
      <c r="E49" s="789"/>
      <c r="F49" s="789"/>
      <c r="G49" s="789"/>
      <c r="H49" s="789"/>
      <c r="I49" s="789"/>
      <c r="J49" s="900"/>
      <c r="K49" s="789"/>
      <c r="L49" s="789"/>
      <c r="M49" s="831"/>
      <c r="N49" s="831"/>
      <c r="O49" s="826"/>
      <c r="P49" s="826"/>
    </row>
    <row r="50" spans="1:16" hidden="1">
      <c r="A50" s="487"/>
      <c r="B50" s="487"/>
      <c r="C50" s="487"/>
      <c r="D50" s="789"/>
      <c r="E50" s="789"/>
      <c r="F50" s="789"/>
      <c r="G50" s="789"/>
      <c r="H50" s="789"/>
      <c r="I50" s="789"/>
      <c r="J50" s="900"/>
      <c r="K50" s="789"/>
      <c r="L50" s="789"/>
      <c r="M50" s="831"/>
      <c r="N50" s="831"/>
      <c r="O50" s="826"/>
      <c r="P50" s="826"/>
    </row>
    <row r="51" spans="1:16" hidden="1">
      <c r="A51" s="487"/>
      <c r="B51" s="487"/>
      <c r="C51" s="487"/>
      <c r="D51" s="789"/>
      <c r="E51" s="789"/>
      <c r="F51" s="789"/>
      <c r="G51" s="789"/>
      <c r="H51" s="789"/>
      <c r="I51" s="789"/>
      <c r="J51" s="900"/>
      <c r="K51" s="789"/>
      <c r="L51" s="789"/>
      <c r="M51" s="831"/>
      <c r="N51" s="831"/>
      <c r="O51" s="826"/>
      <c r="P51" s="826"/>
    </row>
    <row r="52" spans="1:16" hidden="1">
      <c r="A52" s="487"/>
      <c r="B52" s="487"/>
      <c r="C52" s="487"/>
      <c r="D52" s="789"/>
      <c r="E52" s="789"/>
      <c r="F52" s="789"/>
      <c r="G52" s="789"/>
      <c r="H52" s="789"/>
      <c r="I52" s="789"/>
      <c r="J52" s="900"/>
      <c r="K52" s="789"/>
      <c r="L52" s="789"/>
      <c r="M52" s="831"/>
      <c r="N52" s="831"/>
      <c r="O52" s="826"/>
      <c r="P52" s="826"/>
    </row>
    <row r="53" spans="1:16" hidden="1">
      <c r="A53" s="487"/>
      <c r="B53" s="487"/>
      <c r="C53" s="487"/>
      <c r="D53" s="789"/>
      <c r="E53" s="789"/>
      <c r="F53" s="789"/>
      <c r="G53" s="789"/>
      <c r="H53" s="789"/>
      <c r="I53" s="789"/>
      <c r="J53" s="900"/>
      <c r="K53" s="789"/>
      <c r="L53" s="789"/>
      <c r="M53" s="831"/>
      <c r="N53" s="831"/>
      <c r="O53" s="826"/>
      <c r="P53" s="826"/>
    </row>
    <row r="54" spans="1:16" hidden="1">
      <c r="A54" s="487"/>
      <c r="B54" s="487"/>
      <c r="C54" s="487"/>
      <c r="D54" s="789"/>
      <c r="E54" s="789"/>
      <c r="F54" s="789"/>
      <c r="G54" s="789"/>
      <c r="H54" s="789"/>
      <c r="I54" s="789"/>
      <c r="J54" s="900"/>
      <c r="K54" s="789"/>
      <c r="L54" s="789"/>
      <c r="M54" s="831"/>
      <c r="N54" s="831"/>
      <c r="O54" s="826"/>
      <c r="P54" s="826"/>
    </row>
    <row r="55" spans="1:16" hidden="1">
      <c r="A55" s="487"/>
      <c r="B55" s="487"/>
      <c r="C55" s="487"/>
      <c r="D55" s="789"/>
      <c r="E55" s="789"/>
      <c r="F55" s="789"/>
      <c r="G55" s="789"/>
      <c r="H55" s="789"/>
      <c r="I55" s="789"/>
      <c r="J55" s="900"/>
      <c r="K55" s="789"/>
      <c r="L55" s="789"/>
      <c r="M55" s="831"/>
      <c r="N55" s="831"/>
      <c r="O55" s="826"/>
      <c r="P55" s="826"/>
    </row>
    <row r="56" spans="1:16" hidden="1">
      <c r="A56" s="487"/>
      <c r="B56" s="487"/>
      <c r="C56" s="487"/>
      <c r="D56" s="789"/>
      <c r="E56" s="789"/>
      <c r="F56" s="789"/>
      <c r="G56" s="789"/>
      <c r="H56" s="789"/>
      <c r="I56" s="789"/>
      <c r="J56" s="900"/>
      <c r="K56" s="789"/>
      <c r="L56" s="789"/>
      <c r="M56" s="831"/>
      <c r="N56" s="831"/>
      <c r="O56" s="826"/>
      <c r="P56" s="826"/>
    </row>
    <row r="57" spans="1:16" hidden="1">
      <c r="A57" s="487"/>
      <c r="B57" s="487"/>
      <c r="C57" s="487"/>
      <c r="D57" s="789"/>
      <c r="E57" s="789"/>
      <c r="F57" s="789"/>
      <c r="G57" s="789"/>
      <c r="H57" s="789"/>
      <c r="I57" s="789"/>
      <c r="J57" s="900"/>
      <c r="K57" s="789"/>
      <c r="L57" s="789"/>
      <c r="M57" s="831"/>
      <c r="N57" s="831"/>
      <c r="O57" s="826"/>
      <c r="P57" s="826"/>
    </row>
    <row r="58" spans="1:16" hidden="1">
      <c r="A58" s="487"/>
      <c r="B58" s="487"/>
      <c r="C58" s="487"/>
      <c r="D58" s="789"/>
      <c r="E58" s="789"/>
      <c r="F58" s="789"/>
      <c r="G58" s="789"/>
      <c r="H58" s="789"/>
      <c r="I58" s="789"/>
      <c r="J58" s="900"/>
      <c r="K58" s="789"/>
      <c r="L58" s="789"/>
      <c r="M58" s="831"/>
      <c r="N58" s="831"/>
      <c r="O58" s="826"/>
      <c r="P58" s="826"/>
    </row>
    <row r="59" spans="1:16" hidden="1">
      <c r="A59" s="487"/>
      <c r="B59" s="487"/>
      <c r="C59" s="487"/>
      <c r="D59" s="789"/>
      <c r="E59" s="789"/>
      <c r="F59" s="789"/>
      <c r="G59" s="789"/>
      <c r="H59" s="789"/>
      <c r="I59" s="789"/>
      <c r="J59" s="900"/>
      <c r="K59" s="789"/>
      <c r="L59" s="789"/>
      <c r="M59" s="831"/>
      <c r="N59" s="831"/>
      <c r="O59" s="826"/>
      <c r="P59" s="826"/>
    </row>
    <row r="60" spans="1:16" hidden="1">
      <c r="A60" s="487"/>
      <c r="B60" s="487"/>
      <c r="C60" s="487"/>
      <c r="D60" s="789"/>
      <c r="E60" s="789"/>
      <c r="F60" s="789"/>
      <c r="G60" s="789"/>
      <c r="H60" s="789"/>
      <c r="I60" s="789"/>
      <c r="J60" s="900"/>
      <c r="K60" s="789"/>
      <c r="L60" s="789"/>
      <c r="M60" s="831"/>
      <c r="N60" s="831"/>
      <c r="O60" s="826"/>
      <c r="P60" s="826"/>
    </row>
    <row r="61" spans="1:16" hidden="1">
      <c r="A61" s="487"/>
      <c r="B61" s="487"/>
      <c r="C61" s="487"/>
      <c r="D61" s="789"/>
      <c r="E61" s="789"/>
      <c r="F61" s="789"/>
      <c r="G61" s="789"/>
      <c r="H61" s="789"/>
      <c r="I61" s="789"/>
      <c r="J61" s="900"/>
      <c r="K61" s="789"/>
      <c r="L61" s="789"/>
      <c r="M61" s="831"/>
      <c r="N61" s="831"/>
      <c r="O61" s="826"/>
      <c r="P61" s="826"/>
    </row>
    <row r="62" spans="1:16" hidden="1">
      <c r="A62" s="487"/>
      <c r="B62" s="487"/>
      <c r="C62" s="487"/>
      <c r="D62" s="789"/>
      <c r="E62" s="789"/>
      <c r="F62" s="789"/>
      <c r="G62" s="789"/>
      <c r="H62" s="789"/>
      <c r="I62" s="789"/>
      <c r="J62" s="900"/>
      <c r="K62" s="789"/>
      <c r="L62" s="789"/>
      <c r="M62" s="831"/>
      <c r="N62" s="831"/>
      <c r="O62" s="826"/>
      <c r="P62" s="826"/>
    </row>
    <row r="63" spans="1:16" hidden="1">
      <c r="A63" s="487"/>
      <c r="B63" s="487"/>
      <c r="C63" s="487"/>
      <c r="D63" s="789"/>
      <c r="E63" s="789"/>
      <c r="F63" s="789"/>
      <c r="G63" s="789"/>
      <c r="H63" s="789"/>
      <c r="I63" s="789"/>
      <c r="J63" s="900"/>
      <c r="K63" s="789"/>
      <c r="L63" s="789"/>
      <c r="M63" s="831"/>
      <c r="N63" s="831"/>
      <c r="O63" s="826"/>
      <c r="P63" s="826"/>
    </row>
    <row r="64" spans="1:16" hidden="1">
      <c r="A64" s="771"/>
      <c r="B64" s="771"/>
      <c r="C64" s="786"/>
      <c r="D64" s="787"/>
      <c r="E64" s="787"/>
      <c r="F64" s="787"/>
      <c r="G64" s="787"/>
      <c r="H64" s="787"/>
      <c r="I64" s="787"/>
      <c r="J64" s="795"/>
      <c r="K64" s="787"/>
      <c r="L64" s="787"/>
      <c r="M64" s="826"/>
      <c r="N64" s="826"/>
      <c r="O64" s="826"/>
      <c r="P64" s="826"/>
    </row>
    <row r="65" spans="1:17" ht="17" thickBot="1">
      <c r="A65" s="808" t="s">
        <v>1230</v>
      </c>
      <c r="B65" s="952"/>
      <c r="C65" s="953"/>
      <c r="D65" s="789"/>
      <c r="E65" s="789"/>
      <c r="F65" s="789"/>
      <c r="G65" s="789"/>
      <c r="H65" s="789"/>
      <c r="I65" s="789"/>
      <c r="J65" s="795"/>
      <c r="K65" s="789"/>
      <c r="L65" s="789"/>
      <c r="M65" s="826"/>
      <c r="N65" s="826"/>
      <c r="O65" s="826"/>
      <c r="P65" s="826"/>
    </row>
    <row r="66" spans="1:17" hidden="1">
      <c r="A66" s="1018">
        <v>1036</v>
      </c>
      <c r="B66" s="955">
        <v>5169</v>
      </c>
      <c r="C66" s="868" t="s">
        <v>596</v>
      </c>
      <c r="D66" s="1019"/>
      <c r="E66" s="1019"/>
      <c r="F66" s="1019"/>
      <c r="G66" s="1019"/>
      <c r="H66" s="1019"/>
      <c r="I66" s="1019"/>
      <c r="J66" s="1020"/>
      <c r="K66" s="1019"/>
      <c r="L66" s="1019"/>
      <c r="M66" s="871"/>
      <c r="N66" s="871"/>
      <c r="O66" s="871">
        <v>95000</v>
      </c>
      <c r="P66" s="1021">
        <v>300000</v>
      </c>
    </row>
    <row r="67" spans="1:17">
      <c r="A67" s="942">
        <v>2212</v>
      </c>
      <c r="B67" s="943">
        <v>5171</v>
      </c>
      <c r="C67" s="790" t="s">
        <v>597</v>
      </c>
      <c r="D67" s="944">
        <v>100000</v>
      </c>
      <c r="E67" s="944">
        <v>850000</v>
      </c>
      <c r="F67" s="944">
        <v>48062</v>
      </c>
      <c r="G67" s="1028" t="e">
        <f>#REF!+320000-8943</f>
        <v>#REF!</v>
      </c>
      <c r="H67" s="944" t="e">
        <f>(G67+F67)</f>
        <v>#REF!</v>
      </c>
      <c r="I67" s="944">
        <v>50000</v>
      </c>
      <c r="J67" s="866">
        <v>800000</v>
      </c>
      <c r="K67" s="944">
        <v>1005157</v>
      </c>
      <c r="L67" s="944">
        <v>100000</v>
      </c>
      <c r="M67" s="855">
        <v>100000</v>
      </c>
      <c r="N67" s="855">
        <v>500000</v>
      </c>
      <c r="O67" s="855">
        <v>6500000</v>
      </c>
      <c r="P67" s="855">
        <v>12000000</v>
      </c>
      <c r="Q67" s="1029">
        <v>4000000</v>
      </c>
    </row>
    <row r="68" spans="1:17" hidden="1">
      <c r="A68" s="773">
        <v>2219</v>
      </c>
      <c r="B68" s="772">
        <v>5171</v>
      </c>
      <c r="C68" s="785" t="s">
        <v>599</v>
      </c>
      <c r="D68" s="784"/>
      <c r="E68" s="784">
        <v>400000</v>
      </c>
      <c r="F68" s="784"/>
      <c r="G68" s="784">
        <v>0</v>
      </c>
      <c r="H68" s="784">
        <f>G68+F68</f>
        <v>0</v>
      </c>
      <c r="I68" s="784">
        <v>50000</v>
      </c>
      <c r="J68" s="803"/>
      <c r="K68" s="784">
        <v>8803</v>
      </c>
      <c r="L68" s="784">
        <v>100000</v>
      </c>
      <c r="M68" s="825">
        <v>170000</v>
      </c>
      <c r="N68" s="825">
        <v>100000</v>
      </c>
      <c r="O68" s="825"/>
      <c r="P68" s="825"/>
      <c r="Q68" s="1030"/>
    </row>
    <row r="69" spans="1:17">
      <c r="A69" s="773">
        <v>2219</v>
      </c>
      <c r="B69" s="772">
        <v>6121</v>
      </c>
      <c r="C69" s="785" t="s">
        <v>604</v>
      </c>
      <c r="D69" s="784"/>
      <c r="E69" s="784"/>
      <c r="F69" s="784"/>
      <c r="G69" s="784"/>
      <c r="H69" s="784"/>
      <c r="I69" s="784"/>
      <c r="J69" s="803"/>
      <c r="K69" s="784"/>
      <c r="L69" s="784"/>
      <c r="M69" s="825"/>
      <c r="N69" s="825"/>
      <c r="O69" s="825"/>
      <c r="P69" s="825"/>
      <c r="Q69" s="1030">
        <v>15000000</v>
      </c>
    </row>
    <row r="70" spans="1:17" hidden="1">
      <c r="A70" s="773">
        <v>2221</v>
      </c>
      <c r="B70" s="772">
        <v>5323</v>
      </c>
      <c r="C70" s="785" t="s">
        <v>600</v>
      </c>
      <c r="D70" s="784">
        <v>900000</v>
      </c>
      <c r="E70" s="784">
        <v>900000</v>
      </c>
      <c r="F70" s="784">
        <v>471613.32</v>
      </c>
      <c r="G70" s="784">
        <f t="shared" ref="G70:G112" si="12">E70-F70</f>
        <v>428386.68</v>
      </c>
      <c r="H70" s="784">
        <f t="shared" ref="H70:H131" si="13">G70+F70</f>
        <v>900000</v>
      </c>
      <c r="I70" s="784">
        <f>H70</f>
        <v>900000</v>
      </c>
      <c r="J70" s="803"/>
      <c r="K70" s="784">
        <v>794805</v>
      </c>
      <c r="L70" s="784">
        <v>900000</v>
      </c>
      <c r="M70" s="825">
        <v>900000</v>
      </c>
      <c r="N70" s="825">
        <v>900000</v>
      </c>
      <c r="O70" s="825">
        <v>900000</v>
      </c>
      <c r="P70" s="825">
        <v>900000</v>
      </c>
      <c r="Q70" s="1030"/>
    </row>
    <row r="71" spans="1:17" hidden="1">
      <c r="A71" s="773">
        <v>2223</v>
      </c>
      <c r="B71" s="772">
        <v>5139</v>
      </c>
      <c r="C71" s="785" t="s">
        <v>601</v>
      </c>
      <c r="D71" s="784"/>
      <c r="E71" s="784"/>
      <c r="F71" s="784"/>
      <c r="G71" s="784"/>
      <c r="H71" s="784"/>
      <c r="I71" s="784"/>
      <c r="J71" s="803"/>
      <c r="K71" s="784"/>
      <c r="L71" s="784"/>
      <c r="M71" s="825"/>
      <c r="N71" s="825"/>
      <c r="O71" s="825">
        <v>60000</v>
      </c>
      <c r="P71" s="825"/>
      <c r="Q71" s="1030"/>
    </row>
    <row r="72" spans="1:17" hidden="1">
      <c r="A72" s="773">
        <v>2223</v>
      </c>
      <c r="B72" s="772">
        <v>5169</v>
      </c>
      <c r="C72" s="785" t="s">
        <v>602</v>
      </c>
      <c r="D72" s="784"/>
      <c r="E72" s="784"/>
      <c r="F72" s="784"/>
      <c r="G72" s="784"/>
      <c r="H72" s="784"/>
      <c r="I72" s="784"/>
      <c r="J72" s="803"/>
      <c r="K72" s="784"/>
      <c r="L72" s="784"/>
      <c r="M72" s="825"/>
      <c r="N72" s="825"/>
      <c r="O72" s="825">
        <v>200000</v>
      </c>
      <c r="P72" s="825"/>
      <c r="Q72" s="1030"/>
    </row>
    <row r="73" spans="1:17" hidden="1">
      <c r="A73" s="773">
        <v>2223</v>
      </c>
      <c r="B73" s="772">
        <v>5171</v>
      </c>
      <c r="C73" s="785" t="s">
        <v>603</v>
      </c>
      <c r="D73" s="784">
        <v>20000</v>
      </c>
      <c r="E73" s="784">
        <v>20000</v>
      </c>
      <c r="F73" s="784"/>
      <c r="G73" s="784">
        <f t="shared" si="12"/>
        <v>20000</v>
      </c>
      <c r="H73" s="784">
        <f t="shared" si="13"/>
        <v>20000</v>
      </c>
      <c r="I73" s="784">
        <f>H73</f>
        <v>20000</v>
      </c>
      <c r="J73" s="803"/>
      <c r="K73" s="784"/>
      <c r="L73" s="784">
        <v>20000</v>
      </c>
      <c r="M73" s="825">
        <v>1600000</v>
      </c>
      <c r="N73" s="825">
        <v>20000</v>
      </c>
      <c r="O73" s="825">
        <v>600000</v>
      </c>
      <c r="P73" s="825">
        <v>50000</v>
      </c>
      <c r="Q73" s="1030"/>
    </row>
    <row r="74" spans="1:17">
      <c r="A74" s="836">
        <v>2223</v>
      </c>
      <c r="B74" s="837">
        <v>6121</v>
      </c>
      <c r="C74" s="838" t="s">
        <v>604</v>
      </c>
      <c r="D74" s="839"/>
      <c r="E74" s="839"/>
      <c r="F74" s="839"/>
      <c r="G74" s="839" t="e">
        <f>#REF!</f>
        <v>#REF!</v>
      </c>
      <c r="H74" s="839" t="e">
        <f t="shared" si="13"/>
        <v>#REF!</v>
      </c>
      <c r="I74" s="839" t="e">
        <f>#REF!</f>
        <v>#REF!</v>
      </c>
      <c r="J74" s="1022"/>
      <c r="K74" s="839">
        <v>417871</v>
      </c>
      <c r="L74" s="839">
        <v>1150000</v>
      </c>
      <c r="M74" s="842">
        <v>80000</v>
      </c>
      <c r="N74" s="842">
        <f>330000+4750000+150000</f>
        <v>5230000</v>
      </c>
      <c r="O74" s="842">
        <v>3000000</v>
      </c>
      <c r="P74" s="842">
        <v>15000000</v>
      </c>
      <c r="Q74" s="1030">
        <v>-15000000</v>
      </c>
    </row>
    <row r="75" spans="1:17" hidden="1">
      <c r="A75" s="773">
        <v>2310</v>
      </c>
      <c r="B75" s="772">
        <v>5139</v>
      </c>
      <c r="C75" s="785" t="s">
        <v>606</v>
      </c>
      <c r="D75" s="784">
        <v>5000</v>
      </c>
      <c r="E75" s="784">
        <v>5000</v>
      </c>
      <c r="F75" s="784">
        <v>5733</v>
      </c>
      <c r="G75" s="784">
        <v>0</v>
      </c>
      <c r="H75" s="784">
        <f t="shared" si="13"/>
        <v>5733</v>
      </c>
      <c r="I75" s="784">
        <f>H75</f>
        <v>5733</v>
      </c>
      <c r="J75" s="803"/>
      <c r="K75" s="784"/>
      <c r="L75" s="784">
        <v>2000</v>
      </c>
      <c r="M75" s="825">
        <v>67000</v>
      </c>
      <c r="N75" s="825">
        <v>50000</v>
      </c>
      <c r="O75" s="825">
        <v>20000</v>
      </c>
      <c r="P75" s="825">
        <v>50000</v>
      </c>
      <c r="Q75" s="1030"/>
    </row>
    <row r="76" spans="1:17" hidden="1">
      <c r="A76" s="773">
        <v>2321</v>
      </c>
      <c r="B76" s="772">
        <v>5169</v>
      </c>
      <c r="C76" s="785" t="s">
        <v>607</v>
      </c>
      <c r="D76" s="784">
        <v>10000</v>
      </c>
      <c r="E76" s="784">
        <v>10000</v>
      </c>
      <c r="F76" s="784"/>
      <c r="G76" s="784">
        <f t="shared" si="12"/>
        <v>10000</v>
      </c>
      <c r="H76" s="784">
        <f t="shared" si="13"/>
        <v>10000</v>
      </c>
      <c r="I76" s="784">
        <f t="shared" ref="I76:I89" si="14">H76</f>
        <v>10000</v>
      </c>
      <c r="J76" s="803"/>
      <c r="K76" s="784">
        <v>19316</v>
      </c>
      <c r="L76" s="784">
        <v>20000</v>
      </c>
      <c r="M76" s="825"/>
      <c r="N76" s="825">
        <v>20000</v>
      </c>
      <c r="O76" s="825"/>
      <c r="P76" s="825">
        <v>100000</v>
      </c>
      <c r="Q76" s="1030"/>
    </row>
    <row r="77" spans="1:17" hidden="1">
      <c r="A77" s="773">
        <v>2321</v>
      </c>
      <c r="B77" s="772">
        <v>5171</v>
      </c>
      <c r="C77" s="785" t="s">
        <v>608</v>
      </c>
      <c r="D77" s="784">
        <v>40000</v>
      </c>
      <c r="E77" s="784">
        <v>40000</v>
      </c>
      <c r="F77" s="784"/>
      <c r="G77" s="784">
        <f t="shared" si="12"/>
        <v>40000</v>
      </c>
      <c r="H77" s="784">
        <f t="shared" si="13"/>
        <v>40000</v>
      </c>
      <c r="I77" s="784">
        <f t="shared" si="14"/>
        <v>40000</v>
      </c>
      <c r="J77" s="803"/>
      <c r="K77" s="784">
        <v>14707</v>
      </c>
      <c r="L77" s="784">
        <v>40000</v>
      </c>
      <c r="M77" s="825">
        <v>40000</v>
      </c>
      <c r="N77" s="825">
        <v>500000</v>
      </c>
      <c r="O77" s="825">
        <v>10000</v>
      </c>
      <c r="P77" s="825">
        <v>800000</v>
      </c>
      <c r="Q77" s="1030"/>
    </row>
    <row r="78" spans="1:17" hidden="1">
      <c r="A78" s="773">
        <v>2329</v>
      </c>
      <c r="B78" s="772">
        <v>5011</v>
      </c>
      <c r="C78" s="785" t="s">
        <v>610</v>
      </c>
      <c r="D78" s="784">
        <v>20000</v>
      </c>
      <c r="E78" s="784">
        <v>20000</v>
      </c>
      <c r="F78" s="784">
        <v>10400</v>
      </c>
      <c r="G78" s="784">
        <f t="shared" si="12"/>
        <v>9600</v>
      </c>
      <c r="H78" s="784">
        <f t="shared" si="13"/>
        <v>20000</v>
      </c>
      <c r="I78" s="784">
        <f t="shared" si="14"/>
        <v>20000</v>
      </c>
      <c r="J78" s="803"/>
      <c r="K78" s="784">
        <v>49419</v>
      </c>
      <c r="L78" s="784">
        <v>80000</v>
      </c>
      <c r="M78" s="825">
        <v>100000</v>
      </c>
      <c r="N78" s="825">
        <v>100000</v>
      </c>
      <c r="O78" s="825">
        <v>120000</v>
      </c>
      <c r="P78" s="825">
        <v>120000</v>
      </c>
      <c r="Q78" s="1030"/>
    </row>
    <row r="79" spans="1:17" hidden="1">
      <c r="A79" s="773">
        <v>2329</v>
      </c>
      <c r="B79" s="772">
        <v>5021</v>
      </c>
      <c r="C79" s="785" t="s">
        <v>611</v>
      </c>
      <c r="D79" s="784">
        <v>30000</v>
      </c>
      <c r="E79" s="784">
        <v>30000</v>
      </c>
      <c r="F79" s="784">
        <v>30450</v>
      </c>
      <c r="G79" s="784">
        <v>0</v>
      </c>
      <c r="H79" s="784">
        <f t="shared" si="13"/>
        <v>30450</v>
      </c>
      <c r="I79" s="784">
        <f t="shared" si="14"/>
        <v>30450</v>
      </c>
      <c r="J79" s="803"/>
      <c r="K79" s="784">
        <v>45391</v>
      </c>
      <c r="L79" s="784">
        <v>60000</v>
      </c>
      <c r="M79" s="825">
        <v>50000</v>
      </c>
      <c r="N79" s="825">
        <v>50000</v>
      </c>
      <c r="O79" s="825">
        <v>60000</v>
      </c>
      <c r="P79" s="825">
        <v>60000</v>
      </c>
      <c r="Q79" s="1030"/>
    </row>
    <row r="80" spans="1:17" hidden="1">
      <c r="A80" s="773">
        <v>2329</v>
      </c>
      <c r="B80" s="772">
        <v>5031</v>
      </c>
      <c r="C80" s="785" t="s">
        <v>612</v>
      </c>
      <c r="D80" s="784">
        <v>12000</v>
      </c>
      <c r="E80" s="784">
        <v>12000</v>
      </c>
      <c r="F80" s="784">
        <v>2590</v>
      </c>
      <c r="G80" s="784">
        <f t="shared" si="12"/>
        <v>9410</v>
      </c>
      <c r="H80" s="784">
        <f t="shared" si="13"/>
        <v>12000</v>
      </c>
      <c r="I80" s="784">
        <f t="shared" si="14"/>
        <v>12000</v>
      </c>
      <c r="J80" s="803"/>
      <c r="K80" s="784">
        <v>3682</v>
      </c>
      <c r="L80" s="784">
        <v>12000</v>
      </c>
      <c r="M80" s="825">
        <v>10000</v>
      </c>
      <c r="N80" s="825">
        <v>10000</v>
      </c>
      <c r="O80" s="825">
        <v>10000</v>
      </c>
      <c r="P80" s="825">
        <v>10000</v>
      </c>
      <c r="Q80" s="1030"/>
    </row>
    <row r="81" spans="1:17" hidden="1">
      <c r="A81" s="773">
        <v>2329</v>
      </c>
      <c r="B81" s="772">
        <v>5032</v>
      </c>
      <c r="C81" s="785" t="s">
        <v>613</v>
      </c>
      <c r="D81" s="784">
        <v>8000</v>
      </c>
      <c r="E81" s="784">
        <v>8000</v>
      </c>
      <c r="F81" s="784">
        <v>936</v>
      </c>
      <c r="G81" s="784">
        <f t="shared" si="12"/>
        <v>7064</v>
      </c>
      <c r="H81" s="784">
        <f t="shared" si="13"/>
        <v>8000</v>
      </c>
      <c r="I81" s="784">
        <f t="shared" si="14"/>
        <v>8000</v>
      </c>
      <c r="J81" s="803"/>
      <c r="K81" s="784">
        <v>1337</v>
      </c>
      <c r="L81" s="784">
        <v>8000</v>
      </c>
      <c r="M81" s="825">
        <v>5000</v>
      </c>
      <c r="N81" s="825">
        <v>5000</v>
      </c>
      <c r="O81" s="825">
        <v>5000</v>
      </c>
      <c r="P81" s="825">
        <v>5000</v>
      </c>
      <c r="Q81" s="1030"/>
    </row>
    <row r="82" spans="1:17" hidden="1">
      <c r="A82" s="773">
        <v>2329</v>
      </c>
      <c r="B82" s="772">
        <v>5139</v>
      </c>
      <c r="C82" s="785" t="s">
        <v>614</v>
      </c>
      <c r="D82" s="784">
        <v>5000</v>
      </c>
      <c r="E82" s="784">
        <v>25000</v>
      </c>
      <c r="F82" s="784">
        <v>22620</v>
      </c>
      <c r="G82" s="784">
        <f t="shared" si="12"/>
        <v>2380</v>
      </c>
      <c r="H82" s="784">
        <f t="shared" si="13"/>
        <v>25000</v>
      </c>
      <c r="I82" s="784">
        <f t="shared" si="14"/>
        <v>25000</v>
      </c>
      <c r="J82" s="803"/>
      <c r="K82" s="784">
        <v>39540</v>
      </c>
      <c r="L82" s="784">
        <v>56000</v>
      </c>
      <c r="M82" s="825">
        <v>140000</v>
      </c>
      <c r="N82" s="825">
        <v>140000</v>
      </c>
      <c r="O82" s="825">
        <v>140000</v>
      </c>
      <c r="P82" s="825">
        <v>140000</v>
      </c>
      <c r="Q82" s="1030"/>
    </row>
    <row r="83" spans="1:17" hidden="1">
      <c r="A83" s="773">
        <v>2329</v>
      </c>
      <c r="B83" s="772">
        <v>5154</v>
      </c>
      <c r="C83" s="785" t="s">
        <v>615</v>
      </c>
      <c r="D83" s="784">
        <v>300000</v>
      </c>
      <c r="E83" s="784">
        <v>300000</v>
      </c>
      <c r="F83" s="784">
        <v>245523.26</v>
      </c>
      <c r="G83" s="784">
        <f t="shared" si="12"/>
        <v>54476.739999999991</v>
      </c>
      <c r="H83" s="784">
        <f t="shared" si="13"/>
        <v>300000</v>
      </c>
      <c r="I83" s="784">
        <f t="shared" si="14"/>
        <v>300000</v>
      </c>
      <c r="J83" s="803"/>
      <c r="K83" s="784">
        <v>357221</v>
      </c>
      <c r="L83" s="784">
        <v>400000</v>
      </c>
      <c r="M83" s="825">
        <v>1300000</v>
      </c>
      <c r="N83" s="825">
        <v>1400000</v>
      </c>
      <c r="O83" s="825">
        <v>1000000</v>
      </c>
      <c r="P83" s="825">
        <v>1000000</v>
      </c>
      <c r="Q83" s="1030"/>
    </row>
    <row r="84" spans="1:17" hidden="1">
      <c r="A84" s="773">
        <v>2329</v>
      </c>
      <c r="B84" s="772">
        <v>5151</v>
      </c>
      <c r="C84" s="785" t="s">
        <v>616</v>
      </c>
      <c r="D84" s="784"/>
      <c r="E84" s="784"/>
      <c r="F84" s="784">
        <v>49320</v>
      </c>
      <c r="G84" s="784">
        <f>60000-F84</f>
        <v>10680</v>
      </c>
      <c r="H84" s="784">
        <f t="shared" si="13"/>
        <v>60000</v>
      </c>
      <c r="I84" s="784">
        <f t="shared" si="14"/>
        <v>60000</v>
      </c>
      <c r="J84" s="803"/>
      <c r="K84" s="784"/>
      <c r="L84" s="784">
        <v>10000</v>
      </c>
      <c r="M84" s="825">
        <v>10000</v>
      </c>
      <c r="N84" s="825">
        <v>10000</v>
      </c>
      <c r="O84" s="825"/>
      <c r="P84" s="825"/>
      <c r="Q84" s="1030"/>
    </row>
    <row r="85" spans="1:17" hidden="1">
      <c r="A85" s="773">
        <v>2329</v>
      </c>
      <c r="B85" s="772">
        <v>5169</v>
      </c>
      <c r="C85" s="785" t="s">
        <v>617</v>
      </c>
      <c r="D85" s="784">
        <v>750000</v>
      </c>
      <c r="E85" s="784">
        <v>750000</v>
      </c>
      <c r="F85" s="784">
        <v>274259.26</v>
      </c>
      <c r="G85" s="784">
        <f t="shared" si="12"/>
        <v>475740.74</v>
      </c>
      <c r="H85" s="784">
        <f t="shared" si="13"/>
        <v>750000</v>
      </c>
      <c r="I85" s="784">
        <f t="shared" si="14"/>
        <v>750000</v>
      </c>
      <c r="J85" s="803"/>
      <c r="K85" s="784">
        <v>376997</v>
      </c>
      <c r="L85" s="784">
        <v>510000</v>
      </c>
      <c r="M85" s="825">
        <v>500000</v>
      </c>
      <c r="N85" s="825">
        <v>500000</v>
      </c>
      <c r="O85" s="825">
        <v>500000</v>
      </c>
      <c r="P85" s="825">
        <v>500000</v>
      </c>
      <c r="Q85" s="1030"/>
    </row>
    <row r="86" spans="1:17" hidden="1">
      <c r="A86" s="773">
        <v>2329</v>
      </c>
      <c r="B86" s="772">
        <v>5171</v>
      </c>
      <c r="C86" s="785" t="s">
        <v>618</v>
      </c>
      <c r="D86" s="784">
        <v>100000</v>
      </c>
      <c r="E86" s="784">
        <v>100000</v>
      </c>
      <c r="F86" s="784">
        <v>73498.52</v>
      </c>
      <c r="G86" s="784">
        <f t="shared" si="12"/>
        <v>26501.479999999996</v>
      </c>
      <c r="H86" s="784">
        <f t="shared" si="13"/>
        <v>100000</v>
      </c>
      <c r="I86" s="784">
        <f t="shared" si="14"/>
        <v>100000</v>
      </c>
      <c r="J86" s="803"/>
      <c r="K86" s="784">
        <v>144713</v>
      </c>
      <c r="L86" s="784">
        <v>150000</v>
      </c>
      <c r="M86" s="825">
        <v>220000</v>
      </c>
      <c r="N86" s="825">
        <v>200000</v>
      </c>
      <c r="O86" s="825">
        <v>350000</v>
      </c>
      <c r="P86" s="825">
        <v>350000</v>
      </c>
      <c r="Q86" s="1030"/>
    </row>
    <row r="87" spans="1:17" hidden="1">
      <c r="A87" s="773">
        <v>2329</v>
      </c>
      <c r="B87" s="772">
        <v>5362</v>
      </c>
      <c r="C87" s="785" t="s">
        <v>619</v>
      </c>
      <c r="D87" s="784">
        <v>30000</v>
      </c>
      <c r="E87" s="784">
        <v>30000</v>
      </c>
      <c r="F87" s="784"/>
      <c r="G87" s="784">
        <f t="shared" si="12"/>
        <v>30000</v>
      </c>
      <c r="H87" s="784">
        <f t="shared" si="13"/>
        <v>30000</v>
      </c>
      <c r="I87" s="784">
        <f t="shared" si="14"/>
        <v>30000</v>
      </c>
      <c r="J87" s="803"/>
      <c r="K87" s="784">
        <v>21725</v>
      </c>
      <c r="L87" s="784">
        <v>25000</v>
      </c>
      <c r="M87" s="825">
        <v>25000</v>
      </c>
      <c r="N87" s="825">
        <v>25000</v>
      </c>
      <c r="O87" s="825">
        <v>22000</v>
      </c>
      <c r="P87" s="825">
        <v>25000</v>
      </c>
      <c r="Q87" s="1030"/>
    </row>
    <row r="88" spans="1:17" hidden="1">
      <c r="A88" s="836">
        <v>2329</v>
      </c>
      <c r="B88" s="837">
        <v>6121</v>
      </c>
      <c r="C88" s="838" t="s">
        <v>620</v>
      </c>
      <c r="D88" s="839"/>
      <c r="E88" s="839"/>
      <c r="F88" s="839"/>
      <c r="G88" s="839"/>
      <c r="H88" s="839"/>
      <c r="I88" s="839"/>
      <c r="J88" s="1022"/>
      <c r="K88" s="839">
        <v>613175</v>
      </c>
      <c r="L88" s="839"/>
      <c r="M88" s="842">
        <v>180000</v>
      </c>
      <c r="N88" s="842">
        <v>150000</v>
      </c>
      <c r="O88" s="842"/>
      <c r="P88" s="842"/>
      <c r="Q88" s="1030"/>
    </row>
    <row r="89" spans="1:17" hidden="1">
      <c r="A89" s="773">
        <v>2334</v>
      </c>
      <c r="B89" s="772">
        <v>5171</v>
      </c>
      <c r="C89" s="785" t="s">
        <v>621</v>
      </c>
      <c r="D89" s="784">
        <v>50000</v>
      </c>
      <c r="E89" s="784">
        <v>200000</v>
      </c>
      <c r="F89" s="784">
        <v>29597</v>
      </c>
      <c r="G89" s="784">
        <f t="shared" si="12"/>
        <v>170403</v>
      </c>
      <c r="H89" s="784">
        <f t="shared" si="13"/>
        <v>200000</v>
      </c>
      <c r="I89" s="784">
        <f t="shared" si="14"/>
        <v>200000</v>
      </c>
      <c r="J89" s="803"/>
      <c r="K89" s="784">
        <v>81053</v>
      </c>
      <c r="L89" s="784">
        <v>100000</v>
      </c>
      <c r="M89" s="825">
        <v>10000</v>
      </c>
      <c r="N89" s="825">
        <v>100000</v>
      </c>
      <c r="O89" s="825">
        <v>100000</v>
      </c>
      <c r="P89" s="825">
        <v>100000</v>
      </c>
      <c r="Q89" s="1030"/>
    </row>
    <row r="90" spans="1:17" hidden="1">
      <c r="A90" s="836">
        <v>2334</v>
      </c>
      <c r="B90" s="837">
        <v>6121</v>
      </c>
      <c r="C90" s="838" t="s">
        <v>622</v>
      </c>
      <c r="D90" s="839"/>
      <c r="E90" s="839"/>
      <c r="F90" s="839"/>
      <c r="G90" s="839" t="e">
        <f>#REF!</f>
        <v>#REF!</v>
      </c>
      <c r="H90" s="839" t="e">
        <f t="shared" si="13"/>
        <v>#REF!</v>
      </c>
      <c r="I90" s="839" t="e">
        <f>#REF!</f>
        <v>#REF!</v>
      </c>
      <c r="J90" s="1022"/>
      <c r="K90" s="839"/>
      <c r="L90" s="839">
        <v>4900000</v>
      </c>
      <c r="M90" s="842">
        <v>340000</v>
      </c>
      <c r="N90" s="842">
        <v>30000</v>
      </c>
      <c r="O90" s="842">
        <v>250000</v>
      </c>
      <c r="P90" s="842">
        <v>2500000</v>
      </c>
      <c r="Q90" s="1030"/>
    </row>
    <row r="91" spans="1:17" hidden="1">
      <c r="A91" s="773">
        <v>3111</v>
      </c>
      <c r="B91" s="772">
        <v>5137</v>
      </c>
      <c r="C91" s="785" t="s">
        <v>624</v>
      </c>
      <c r="D91" s="784"/>
      <c r="E91" s="784">
        <v>2500000</v>
      </c>
      <c r="F91" s="784">
        <v>890909.21</v>
      </c>
      <c r="G91" s="784">
        <f t="shared" si="12"/>
        <v>1609090.79</v>
      </c>
      <c r="H91" s="784">
        <f t="shared" si="13"/>
        <v>2500000</v>
      </c>
      <c r="I91" s="784">
        <v>0</v>
      </c>
      <c r="J91" s="803"/>
      <c r="K91" s="784"/>
      <c r="L91" s="784"/>
      <c r="M91" s="825"/>
      <c r="N91" s="825"/>
      <c r="O91" s="825"/>
      <c r="P91" s="825"/>
      <c r="Q91" s="1030"/>
    </row>
    <row r="92" spans="1:17" hidden="1">
      <c r="A92" s="773">
        <v>3111</v>
      </c>
      <c r="B92" s="772">
        <v>5139</v>
      </c>
      <c r="C92" s="785" t="s">
        <v>625</v>
      </c>
      <c r="D92" s="784"/>
      <c r="E92" s="784">
        <v>50000</v>
      </c>
      <c r="F92" s="784">
        <v>232473.4</v>
      </c>
      <c r="G92" s="784">
        <f>235000-F92</f>
        <v>2526.6000000000058</v>
      </c>
      <c r="H92" s="784">
        <f t="shared" si="13"/>
        <v>235000</v>
      </c>
      <c r="I92" s="784">
        <v>0</v>
      </c>
      <c r="J92" s="803"/>
      <c r="K92" s="784"/>
      <c r="L92" s="784"/>
      <c r="M92" s="825"/>
      <c r="N92" s="825"/>
      <c r="O92" s="825"/>
      <c r="P92" s="825"/>
      <c r="Q92" s="1030"/>
    </row>
    <row r="93" spans="1:17" hidden="1">
      <c r="A93" s="773">
        <v>3111</v>
      </c>
      <c r="B93" s="772">
        <v>5153</v>
      </c>
      <c r="C93" s="785" t="s">
        <v>626</v>
      </c>
      <c r="D93" s="784"/>
      <c r="E93" s="784"/>
      <c r="F93" s="784">
        <v>16000</v>
      </c>
      <c r="G93" s="784">
        <f>20000-F93</f>
        <v>4000</v>
      </c>
      <c r="H93" s="784">
        <f t="shared" si="13"/>
        <v>20000</v>
      </c>
      <c r="I93" s="784">
        <v>0</v>
      </c>
      <c r="J93" s="803"/>
      <c r="K93" s="784"/>
      <c r="L93" s="784"/>
      <c r="M93" s="825"/>
      <c r="N93" s="825"/>
      <c r="O93" s="825"/>
      <c r="P93" s="825"/>
      <c r="Q93" s="1030"/>
    </row>
    <row r="94" spans="1:17" hidden="1">
      <c r="A94" s="773">
        <v>3111</v>
      </c>
      <c r="B94" s="772">
        <v>5169</v>
      </c>
      <c r="C94" s="785" t="s">
        <v>627</v>
      </c>
      <c r="D94" s="784"/>
      <c r="E94" s="784">
        <v>50000</v>
      </c>
      <c r="F94" s="784">
        <v>40465.4</v>
      </c>
      <c r="G94" s="784">
        <f t="shared" si="12"/>
        <v>9534.5999999999985</v>
      </c>
      <c r="H94" s="784">
        <f t="shared" si="13"/>
        <v>50000</v>
      </c>
      <c r="I94" s="784">
        <v>0</v>
      </c>
      <c r="J94" s="803"/>
      <c r="K94" s="784"/>
      <c r="L94" s="784"/>
      <c r="M94" s="825"/>
      <c r="N94" s="825"/>
      <c r="O94" s="825"/>
      <c r="P94" s="825"/>
      <c r="Q94" s="1030"/>
    </row>
    <row r="95" spans="1:17" hidden="1">
      <c r="A95" s="773">
        <v>3111</v>
      </c>
      <c r="B95" s="772">
        <v>5175</v>
      </c>
      <c r="C95" s="785" t="s">
        <v>628</v>
      </c>
      <c r="D95" s="784"/>
      <c r="E95" s="784"/>
      <c r="F95" s="784">
        <v>8959.75</v>
      </c>
      <c r="G95" s="784">
        <f>10000-F95</f>
        <v>1040.25</v>
      </c>
      <c r="H95" s="784">
        <f t="shared" si="13"/>
        <v>10000</v>
      </c>
      <c r="I95" s="784">
        <v>0</v>
      </c>
      <c r="J95" s="803"/>
      <c r="K95" s="784"/>
      <c r="L95" s="784"/>
      <c r="M95" s="825"/>
      <c r="N95" s="825"/>
      <c r="O95" s="825"/>
      <c r="P95" s="825"/>
      <c r="Q95" s="1030"/>
    </row>
    <row r="96" spans="1:17" hidden="1">
      <c r="A96" s="773">
        <v>3111</v>
      </c>
      <c r="B96" s="772">
        <v>5154</v>
      </c>
      <c r="C96" s="785" t="s">
        <v>629</v>
      </c>
      <c r="D96" s="784"/>
      <c r="E96" s="784"/>
      <c r="F96" s="784"/>
      <c r="G96" s="784"/>
      <c r="H96" s="784"/>
      <c r="I96" s="784"/>
      <c r="J96" s="809"/>
      <c r="K96" s="784">
        <v>15870</v>
      </c>
      <c r="L96" s="784"/>
      <c r="M96" s="825"/>
      <c r="N96" s="825"/>
      <c r="O96" s="825"/>
      <c r="P96" s="825"/>
      <c r="Q96" s="1030"/>
    </row>
    <row r="97" spans="1:17" hidden="1">
      <c r="A97" s="773">
        <v>3111</v>
      </c>
      <c r="B97" s="772">
        <v>5162</v>
      </c>
      <c r="C97" s="785" t="s">
        <v>630</v>
      </c>
      <c r="D97" s="784"/>
      <c r="E97" s="784"/>
      <c r="F97" s="784"/>
      <c r="G97" s="784"/>
      <c r="H97" s="784"/>
      <c r="I97" s="784"/>
      <c r="J97" s="809"/>
      <c r="K97" s="784">
        <v>11437</v>
      </c>
      <c r="L97" s="784">
        <v>30000</v>
      </c>
      <c r="M97" s="825">
        <v>40000</v>
      </c>
      <c r="N97" s="825">
        <v>40000</v>
      </c>
      <c r="O97" s="825">
        <v>40000</v>
      </c>
      <c r="P97" s="825">
        <v>40000</v>
      </c>
      <c r="Q97" s="1030"/>
    </row>
    <row r="98" spans="1:17" hidden="1">
      <c r="A98" s="773">
        <v>3111</v>
      </c>
      <c r="B98" s="772">
        <v>5331</v>
      </c>
      <c r="C98" s="785" t="s">
        <v>631</v>
      </c>
      <c r="D98" s="784"/>
      <c r="E98" s="784">
        <v>499200</v>
      </c>
      <c r="F98" s="784"/>
      <c r="G98" s="784">
        <f t="shared" si="12"/>
        <v>499200</v>
      </c>
      <c r="H98" s="784">
        <f t="shared" si="13"/>
        <v>499200</v>
      </c>
      <c r="I98" s="784">
        <f>1300*96*12</f>
        <v>1497600</v>
      </c>
      <c r="J98" s="803"/>
      <c r="K98" s="784">
        <v>1123200</v>
      </c>
      <c r="L98" s="784">
        <v>956700</v>
      </c>
      <c r="M98" s="825">
        <v>956700</v>
      </c>
      <c r="N98" s="825">
        <v>1313700</v>
      </c>
      <c r="O98" s="825">
        <v>1313700</v>
      </c>
      <c r="P98" s="825">
        <v>1474000</v>
      </c>
      <c r="Q98" s="1030"/>
    </row>
    <row r="99" spans="1:17" hidden="1">
      <c r="A99" s="836">
        <v>3111</v>
      </c>
      <c r="B99" s="837">
        <v>6121</v>
      </c>
      <c r="C99" s="838" t="s">
        <v>632</v>
      </c>
      <c r="D99" s="839">
        <f>20000000+10000000</f>
        <v>30000000</v>
      </c>
      <c r="E99" s="839">
        <v>26500000</v>
      </c>
      <c r="F99" s="839">
        <v>24569003.579999998</v>
      </c>
      <c r="G99" s="839">
        <v>0</v>
      </c>
      <c r="H99" s="839">
        <f t="shared" si="13"/>
        <v>24569003.579999998</v>
      </c>
      <c r="I99" s="839" t="e">
        <f>#REF!</f>
        <v>#REF!</v>
      </c>
      <c r="J99" s="1023"/>
      <c r="K99" s="839"/>
      <c r="L99" s="839">
        <v>0</v>
      </c>
      <c r="M99" s="845"/>
      <c r="N99" s="845"/>
      <c r="O99" s="845"/>
      <c r="P99" s="842">
        <v>600000</v>
      </c>
      <c r="Q99" s="1030"/>
    </row>
    <row r="100" spans="1:17" hidden="1">
      <c r="A100" s="773">
        <v>3113</v>
      </c>
      <c r="B100" s="772">
        <v>5169</v>
      </c>
      <c r="C100" s="785" t="s">
        <v>1225</v>
      </c>
      <c r="D100" s="784"/>
      <c r="E100" s="784"/>
      <c r="F100" s="784"/>
      <c r="G100" s="784"/>
      <c r="H100" s="784"/>
      <c r="I100" s="784"/>
      <c r="J100" s="803"/>
      <c r="K100" s="784"/>
      <c r="L100" s="784"/>
      <c r="M100" s="825">
        <v>600000</v>
      </c>
      <c r="N100" s="825"/>
      <c r="O100" s="825">
        <v>40000</v>
      </c>
      <c r="P100" s="825">
        <v>350000</v>
      </c>
      <c r="Q100" s="1030"/>
    </row>
    <row r="101" spans="1:17" hidden="1">
      <c r="A101" s="892">
        <v>3113</v>
      </c>
      <c r="B101" s="893">
        <v>6121</v>
      </c>
      <c r="C101" s="894" t="s">
        <v>635</v>
      </c>
      <c r="D101" s="895"/>
      <c r="E101" s="895"/>
      <c r="F101" s="895"/>
      <c r="G101" s="895"/>
      <c r="H101" s="895"/>
      <c r="I101" s="895"/>
      <c r="J101" s="897"/>
      <c r="K101" s="895"/>
      <c r="L101" s="895"/>
      <c r="M101" s="898"/>
      <c r="N101" s="898">
        <v>300000</v>
      </c>
      <c r="O101" s="890"/>
      <c r="P101" s="890"/>
      <c r="Q101" s="1030"/>
    </row>
    <row r="102" spans="1:17" hidden="1">
      <c r="A102" s="836">
        <v>3113</v>
      </c>
      <c r="B102" s="837">
        <v>6351</v>
      </c>
      <c r="C102" s="838" t="s">
        <v>636</v>
      </c>
      <c r="D102" s="839">
        <v>2000000</v>
      </c>
      <c r="E102" s="839">
        <v>2000000</v>
      </c>
      <c r="F102" s="839"/>
      <c r="G102" s="839" t="e">
        <f>#REF!</f>
        <v>#REF!</v>
      </c>
      <c r="H102" s="839" t="e">
        <f t="shared" si="13"/>
        <v>#REF!</v>
      </c>
      <c r="I102" s="839" t="e">
        <f>#REF!</f>
        <v>#REF!</v>
      </c>
      <c r="J102" s="1023"/>
      <c r="K102" s="839">
        <v>60355</v>
      </c>
      <c r="L102" s="839">
        <v>600000</v>
      </c>
      <c r="M102" s="842">
        <v>1500000</v>
      </c>
      <c r="N102" s="842">
        <v>3100000</v>
      </c>
      <c r="O102" s="842">
        <v>500000</v>
      </c>
      <c r="P102" s="842">
        <v>2000000</v>
      </c>
      <c r="Q102" s="1030"/>
    </row>
    <row r="103" spans="1:17" hidden="1">
      <c r="A103" s="773">
        <v>3326</v>
      </c>
      <c r="B103" s="772">
        <v>5171</v>
      </c>
      <c r="C103" s="785" t="s">
        <v>638</v>
      </c>
      <c r="D103" s="784"/>
      <c r="E103" s="784"/>
      <c r="F103" s="784"/>
      <c r="G103" s="784"/>
      <c r="H103" s="784"/>
      <c r="I103" s="784"/>
      <c r="J103" s="803"/>
      <c r="K103" s="784"/>
      <c r="L103" s="784"/>
      <c r="M103" s="825"/>
      <c r="N103" s="825"/>
      <c r="O103" s="825"/>
      <c r="P103" s="825">
        <v>300000</v>
      </c>
      <c r="Q103" s="1030"/>
    </row>
    <row r="104" spans="1:17" hidden="1">
      <c r="A104" s="773">
        <v>3399</v>
      </c>
      <c r="B104" s="772">
        <v>5139</v>
      </c>
      <c r="C104" s="785" t="s">
        <v>639</v>
      </c>
      <c r="D104" s="784">
        <v>40000</v>
      </c>
      <c r="E104" s="784">
        <v>40000</v>
      </c>
      <c r="F104" s="784"/>
      <c r="G104" s="784">
        <f t="shared" si="12"/>
        <v>40000</v>
      </c>
      <c r="H104" s="784">
        <f t="shared" si="13"/>
        <v>40000</v>
      </c>
      <c r="I104" s="784">
        <f t="shared" ref="I104:I115" si="15">H104</f>
        <v>40000</v>
      </c>
      <c r="J104" s="803"/>
      <c r="K104" s="784"/>
      <c r="L104" s="784">
        <v>40000</v>
      </c>
      <c r="M104" s="825">
        <v>20000</v>
      </c>
      <c r="N104" s="825">
        <v>40000</v>
      </c>
      <c r="O104" s="825">
        <v>40000</v>
      </c>
      <c r="P104" s="825">
        <v>40000</v>
      </c>
      <c r="Q104" s="1030"/>
    </row>
    <row r="105" spans="1:17" hidden="1">
      <c r="A105" s="773">
        <v>3399</v>
      </c>
      <c r="B105" s="772">
        <v>5169</v>
      </c>
      <c r="C105" s="785" t="s">
        <v>640</v>
      </c>
      <c r="D105" s="784">
        <v>20000</v>
      </c>
      <c r="E105" s="784">
        <v>20000</v>
      </c>
      <c r="F105" s="784">
        <v>32166</v>
      </c>
      <c r="G105" s="784">
        <v>0</v>
      </c>
      <c r="H105" s="784">
        <f t="shared" si="13"/>
        <v>32166</v>
      </c>
      <c r="I105" s="784">
        <f t="shared" si="15"/>
        <v>32166</v>
      </c>
      <c r="J105" s="803"/>
      <c r="K105" s="784">
        <v>64530</v>
      </c>
      <c r="L105" s="784">
        <v>65000</v>
      </c>
      <c r="M105" s="825">
        <v>65000</v>
      </c>
      <c r="N105" s="825">
        <v>65000</v>
      </c>
      <c r="O105" s="825">
        <v>140000</v>
      </c>
      <c r="P105" s="825">
        <v>140000</v>
      </c>
      <c r="Q105" s="1030"/>
    </row>
    <row r="106" spans="1:17" hidden="1">
      <c r="A106" s="773">
        <v>3399</v>
      </c>
      <c r="B106" s="772">
        <v>5175</v>
      </c>
      <c r="C106" s="785" t="s">
        <v>641</v>
      </c>
      <c r="D106" s="784">
        <v>100000</v>
      </c>
      <c r="E106" s="784">
        <v>100000</v>
      </c>
      <c r="F106" s="784">
        <v>50556</v>
      </c>
      <c r="G106" s="784">
        <f t="shared" si="12"/>
        <v>49444</v>
      </c>
      <c r="H106" s="784">
        <f t="shared" si="13"/>
        <v>100000</v>
      </c>
      <c r="I106" s="784">
        <f t="shared" si="15"/>
        <v>100000</v>
      </c>
      <c r="J106" s="803"/>
      <c r="K106" s="784">
        <v>45610</v>
      </c>
      <c r="L106" s="784">
        <v>100000</v>
      </c>
      <c r="M106" s="825">
        <v>80000</v>
      </c>
      <c r="N106" s="825">
        <v>100000</v>
      </c>
      <c r="O106" s="825">
        <v>30000</v>
      </c>
      <c r="P106" s="825">
        <v>50000</v>
      </c>
      <c r="Q106" s="1030"/>
    </row>
    <row r="107" spans="1:17" hidden="1">
      <c r="A107" s="773">
        <v>3399</v>
      </c>
      <c r="B107" s="772">
        <v>5194</v>
      </c>
      <c r="C107" s="785" t="s">
        <v>642</v>
      </c>
      <c r="D107" s="784">
        <v>15000</v>
      </c>
      <c r="E107" s="784">
        <v>15000</v>
      </c>
      <c r="F107" s="784">
        <v>14779</v>
      </c>
      <c r="G107" s="784">
        <f t="shared" si="12"/>
        <v>221</v>
      </c>
      <c r="H107" s="784">
        <f t="shared" si="13"/>
        <v>15000</v>
      </c>
      <c r="I107" s="784">
        <f t="shared" si="15"/>
        <v>15000</v>
      </c>
      <c r="J107" s="803"/>
      <c r="K107" s="784">
        <v>20000</v>
      </c>
      <c r="L107" s="784">
        <v>20000</v>
      </c>
      <c r="M107" s="825">
        <v>70000</v>
      </c>
      <c r="N107" s="825">
        <v>40000</v>
      </c>
      <c r="O107" s="825">
        <v>40000</v>
      </c>
      <c r="P107" s="825">
        <v>40000</v>
      </c>
      <c r="Q107" s="1030"/>
    </row>
    <row r="108" spans="1:17" hidden="1">
      <c r="A108" s="773">
        <v>3421</v>
      </c>
      <c r="B108" s="772">
        <v>5139</v>
      </c>
      <c r="C108" s="785" t="s">
        <v>643</v>
      </c>
      <c r="D108" s="784"/>
      <c r="E108" s="784"/>
      <c r="F108" s="784">
        <v>890</v>
      </c>
      <c r="G108" s="784">
        <v>0</v>
      </c>
      <c r="H108" s="784">
        <f t="shared" si="13"/>
        <v>890</v>
      </c>
      <c r="I108" s="784">
        <f t="shared" si="15"/>
        <v>890</v>
      </c>
      <c r="J108" s="803"/>
      <c r="K108" s="784"/>
      <c r="L108" s="784"/>
      <c r="M108" s="825">
        <v>5000</v>
      </c>
      <c r="N108" s="825">
        <v>5000</v>
      </c>
      <c r="O108" s="825"/>
      <c r="P108" s="825"/>
      <c r="Q108" s="1030"/>
    </row>
    <row r="109" spans="1:17" hidden="1">
      <c r="A109" s="773">
        <v>3421</v>
      </c>
      <c r="B109" s="772">
        <v>5169</v>
      </c>
      <c r="C109" s="785" t="s">
        <v>644</v>
      </c>
      <c r="D109" s="784">
        <v>5000</v>
      </c>
      <c r="E109" s="784">
        <v>265000</v>
      </c>
      <c r="F109" s="784"/>
      <c r="G109" s="784">
        <v>25000</v>
      </c>
      <c r="H109" s="784">
        <f t="shared" si="13"/>
        <v>25000</v>
      </c>
      <c r="I109" s="784">
        <f t="shared" si="15"/>
        <v>25000</v>
      </c>
      <c r="J109" s="803"/>
      <c r="K109" s="784"/>
      <c r="L109" s="784">
        <v>25000</v>
      </c>
      <c r="M109" s="825">
        <v>25000</v>
      </c>
      <c r="N109" s="825">
        <v>25000</v>
      </c>
      <c r="O109" s="825">
        <v>25000</v>
      </c>
      <c r="P109" s="825">
        <v>25000</v>
      </c>
      <c r="Q109" s="1030"/>
    </row>
    <row r="110" spans="1:17" hidden="1">
      <c r="A110" s="836">
        <v>3412</v>
      </c>
      <c r="B110" s="837">
        <v>6121</v>
      </c>
      <c r="C110" s="838" t="s">
        <v>645</v>
      </c>
      <c r="D110" s="839"/>
      <c r="E110" s="839"/>
      <c r="F110" s="839"/>
      <c r="G110" s="839"/>
      <c r="H110" s="839"/>
      <c r="I110" s="839"/>
      <c r="J110" s="1022"/>
      <c r="K110" s="839"/>
      <c r="L110" s="839">
        <v>3000000</v>
      </c>
      <c r="M110" s="842"/>
      <c r="N110" s="842"/>
      <c r="O110" s="842">
        <v>450000</v>
      </c>
      <c r="P110" s="842">
        <v>10000000</v>
      </c>
      <c r="Q110" s="1030"/>
    </row>
    <row r="111" spans="1:17" hidden="1">
      <c r="A111" s="836">
        <v>3412</v>
      </c>
      <c r="B111" s="837">
        <v>6122</v>
      </c>
      <c r="C111" s="838" t="s">
        <v>647</v>
      </c>
      <c r="D111" s="839"/>
      <c r="E111" s="839"/>
      <c r="F111" s="839"/>
      <c r="G111" s="839" t="e">
        <f>#REF!</f>
        <v>#REF!</v>
      </c>
      <c r="H111" s="839" t="e">
        <f t="shared" si="13"/>
        <v>#REF!</v>
      </c>
      <c r="I111" s="839" t="e">
        <f>#REF!</f>
        <v>#REF!</v>
      </c>
      <c r="J111" s="1022"/>
      <c r="K111" s="839"/>
      <c r="L111" s="839">
        <v>4000000</v>
      </c>
      <c r="M111" s="842">
        <v>430000</v>
      </c>
      <c r="N111" s="842">
        <v>650000</v>
      </c>
      <c r="O111" s="842">
        <v>500000</v>
      </c>
      <c r="P111" s="842">
        <v>1250000</v>
      </c>
      <c r="Q111" s="1030"/>
    </row>
    <row r="112" spans="1:17" hidden="1">
      <c r="A112" s="773">
        <v>3613</v>
      </c>
      <c r="B112" s="772">
        <v>5171</v>
      </c>
      <c r="C112" s="785" t="s">
        <v>649</v>
      </c>
      <c r="D112" s="784">
        <v>10000</v>
      </c>
      <c r="E112" s="784">
        <v>400000</v>
      </c>
      <c r="F112" s="784">
        <v>229711</v>
      </c>
      <c r="G112" s="784">
        <f t="shared" si="12"/>
        <v>170289</v>
      </c>
      <c r="H112" s="784">
        <f t="shared" si="13"/>
        <v>400000</v>
      </c>
      <c r="I112" s="784">
        <f t="shared" si="15"/>
        <v>400000</v>
      </c>
      <c r="J112" s="803"/>
      <c r="K112" s="784">
        <v>236110</v>
      </c>
      <c r="L112" s="784">
        <v>200000</v>
      </c>
      <c r="M112" s="825"/>
      <c r="N112" s="825">
        <v>150000</v>
      </c>
      <c r="O112" s="825"/>
      <c r="P112" s="825"/>
      <c r="Q112" s="1030"/>
    </row>
    <row r="113" spans="1:17">
      <c r="A113" s="836">
        <v>3613</v>
      </c>
      <c r="B113" s="837">
        <v>6121</v>
      </c>
      <c r="C113" s="838" t="s">
        <v>650</v>
      </c>
      <c r="D113" s="839"/>
      <c r="E113" s="839"/>
      <c r="F113" s="839"/>
      <c r="G113" s="839"/>
      <c r="H113" s="839"/>
      <c r="I113" s="839"/>
      <c r="J113" s="1022"/>
      <c r="K113" s="839"/>
      <c r="L113" s="839"/>
      <c r="M113" s="842"/>
      <c r="N113" s="842"/>
      <c r="O113" s="842"/>
      <c r="P113" s="842">
        <v>4000000</v>
      </c>
      <c r="Q113" s="1030">
        <v>1000000</v>
      </c>
    </row>
    <row r="114" spans="1:17" hidden="1">
      <c r="A114" s="773">
        <v>3631</v>
      </c>
      <c r="B114" s="772">
        <v>5154</v>
      </c>
      <c r="C114" s="785" t="s">
        <v>651</v>
      </c>
      <c r="D114" s="784">
        <v>350000</v>
      </c>
      <c r="E114" s="784">
        <v>350000</v>
      </c>
      <c r="F114" s="784">
        <v>389002</v>
      </c>
      <c r="G114" s="784">
        <v>0</v>
      </c>
      <c r="H114" s="784">
        <f t="shared" si="13"/>
        <v>389002</v>
      </c>
      <c r="I114" s="784">
        <f t="shared" si="15"/>
        <v>389002</v>
      </c>
      <c r="J114" s="803"/>
      <c r="K114" s="784">
        <v>392293</v>
      </c>
      <c r="L114" s="784">
        <v>450000</v>
      </c>
      <c r="M114" s="825">
        <v>600000</v>
      </c>
      <c r="N114" s="825">
        <v>650000</v>
      </c>
      <c r="O114" s="825">
        <v>600000</v>
      </c>
      <c r="P114" s="825">
        <v>1000000</v>
      </c>
      <c r="Q114" s="1030"/>
    </row>
    <row r="115" spans="1:17" hidden="1">
      <c r="A115" s="773">
        <v>3631</v>
      </c>
      <c r="B115" s="772">
        <v>5171</v>
      </c>
      <c r="C115" s="785" t="s">
        <v>652</v>
      </c>
      <c r="D115" s="784">
        <v>200000</v>
      </c>
      <c r="E115" s="784">
        <v>200000</v>
      </c>
      <c r="F115" s="784">
        <v>121840</v>
      </c>
      <c r="G115" s="784">
        <f t="shared" ref="G115:G148" si="16">E115-F115</f>
        <v>78160</v>
      </c>
      <c r="H115" s="784">
        <f t="shared" si="13"/>
        <v>200000</v>
      </c>
      <c r="I115" s="784">
        <f t="shared" si="15"/>
        <v>200000</v>
      </c>
      <c r="J115" s="803"/>
      <c r="K115" s="784">
        <v>200800</v>
      </c>
      <c r="L115" s="784">
        <v>230000</v>
      </c>
      <c r="M115" s="825">
        <v>200000</v>
      </c>
      <c r="N115" s="825">
        <v>200000</v>
      </c>
      <c r="O115" s="825">
        <v>250000</v>
      </c>
      <c r="P115" s="825">
        <v>2000000</v>
      </c>
      <c r="Q115" s="1030"/>
    </row>
    <row r="116" spans="1:17" hidden="1">
      <c r="A116" s="836">
        <v>3631</v>
      </c>
      <c r="B116" s="837">
        <v>6121</v>
      </c>
      <c r="C116" s="838" t="s">
        <v>654</v>
      </c>
      <c r="D116" s="839">
        <v>300000</v>
      </c>
      <c r="E116" s="839">
        <v>300000</v>
      </c>
      <c r="F116" s="839"/>
      <c r="G116" s="839">
        <v>0</v>
      </c>
      <c r="H116" s="839">
        <f t="shared" si="13"/>
        <v>0</v>
      </c>
      <c r="I116" s="839" t="e">
        <f>#REF!</f>
        <v>#REF!</v>
      </c>
      <c r="J116" s="1022"/>
      <c r="K116" s="839">
        <v>1236834</v>
      </c>
      <c r="L116" s="839">
        <v>0</v>
      </c>
      <c r="M116" s="845"/>
      <c r="N116" s="842">
        <v>5600000</v>
      </c>
      <c r="O116" s="845"/>
      <c r="P116" s="842">
        <v>5600000</v>
      </c>
      <c r="Q116" s="1030"/>
    </row>
    <row r="117" spans="1:17" hidden="1">
      <c r="A117" s="773">
        <v>3635</v>
      </c>
      <c r="B117" s="772">
        <v>5169</v>
      </c>
      <c r="C117" s="785" t="s">
        <v>656</v>
      </c>
      <c r="D117" s="784"/>
      <c r="E117" s="784">
        <v>120000</v>
      </c>
      <c r="F117" s="784">
        <v>115705</v>
      </c>
      <c r="G117" s="784">
        <f t="shared" si="16"/>
        <v>4295</v>
      </c>
      <c r="H117" s="784">
        <f t="shared" si="13"/>
        <v>120000</v>
      </c>
      <c r="I117" s="784">
        <f>H117</f>
        <v>120000</v>
      </c>
      <c r="J117" s="803"/>
      <c r="K117" s="784">
        <v>148830</v>
      </c>
      <c r="L117" s="784">
        <v>120000</v>
      </c>
      <c r="M117" s="825">
        <v>50000</v>
      </c>
      <c r="N117" s="825">
        <v>50000</v>
      </c>
      <c r="O117" s="825"/>
      <c r="P117" s="825">
        <v>300000</v>
      </c>
      <c r="Q117" s="1030"/>
    </row>
    <row r="118" spans="1:17" hidden="1">
      <c r="A118" s="773">
        <v>3639</v>
      </c>
      <c r="B118" s="772">
        <v>5169</v>
      </c>
      <c r="C118" s="785" t="s">
        <v>657</v>
      </c>
      <c r="D118" s="784">
        <v>50000</v>
      </c>
      <c r="E118" s="784">
        <v>1316000</v>
      </c>
      <c r="F118" s="784">
        <v>256950</v>
      </c>
      <c r="G118" s="784">
        <f t="shared" si="16"/>
        <v>1059050</v>
      </c>
      <c r="H118" s="784">
        <f t="shared" si="13"/>
        <v>1316000</v>
      </c>
      <c r="I118" s="784">
        <f>H118-700000</f>
        <v>616000</v>
      </c>
      <c r="J118" s="1024"/>
      <c r="K118" s="784">
        <v>72480</v>
      </c>
      <c r="L118" s="784">
        <v>200000</v>
      </c>
      <c r="M118" s="825">
        <v>450000</v>
      </c>
      <c r="N118" s="825">
        <v>200000</v>
      </c>
      <c r="O118" s="825">
        <v>250000</v>
      </c>
      <c r="P118" s="825">
        <v>250000</v>
      </c>
      <c r="Q118" s="1030"/>
    </row>
    <row r="119" spans="1:17" hidden="1">
      <c r="A119" s="836">
        <v>3639</v>
      </c>
      <c r="B119" s="837">
        <v>6122</v>
      </c>
      <c r="C119" s="838" t="s">
        <v>658</v>
      </c>
      <c r="D119" s="839"/>
      <c r="E119" s="839"/>
      <c r="F119" s="839"/>
      <c r="G119" s="839"/>
      <c r="H119" s="839"/>
      <c r="I119" s="839"/>
      <c r="J119" s="1022"/>
      <c r="K119" s="839"/>
      <c r="L119" s="839"/>
      <c r="M119" s="842"/>
      <c r="N119" s="842"/>
      <c r="O119" s="842"/>
      <c r="P119" s="842">
        <v>200000</v>
      </c>
      <c r="Q119" s="1030"/>
    </row>
    <row r="120" spans="1:17" hidden="1">
      <c r="A120" s="836">
        <v>3639</v>
      </c>
      <c r="B120" s="837">
        <v>6121</v>
      </c>
      <c r="C120" s="838" t="s">
        <v>660</v>
      </c>
      <c r="D120" s="839"/>
      <c r="E120" s="839"/>
      <c r="F120" s="839"/>
      <c r="G120" s="839" t="e">
        <f>#REF!</f>
        <v>#REF!</v>
      </c>
      <c r="H120" s="839" t="e">
        <f t="shared" si="13"/>
        <v>#REF!</v>
      </c>
      <c r="I120" s="839"/>
      <c r="J120" s="1023"/>
      <c r="K120" s="839"/>
      <c r="L120" s="1025" t="e">
        <f>#REF!</f>
        <v>#REF!</v>
      </c>
      <c r="M120" s="845"/>
      <c r="N120" s="845"/>
      <c r="O120" s="842">
        <v>105000</v>
      </c>
      <c r="P120" s="842">
        <v>6000000</v>
      </c>
      <c r="Q120" s="1030"/>
    </row>
    <row r="121" spans="1:17">
      <c r="A121" s="836">
        <v>3639</v>
      </c>
      <c r="B121" s="837">
        <v>6122</v>
      </c>
      <c r="C121" s="838" t="s">
        <v>1231</v>
      </c>
      <c r="D121" s="839"/>
      <c r="E121" s="839"/>
      <c r="F121" s="839"/>
      <c r="G121" s="839"/>
      <c r="H121" s="839"/>
      <c r="I121" s="839"/>
      <c r="J121" s="1023"/>
      <c r="K121" s="839"/>
      <c r="L121" s="1025"/>
      <c r="M121" s="845"/>
      <c r="N121" s="845"/>
      <c r="O121" s="842"/>
      <c r="P121" s="842"/>
      <c r="Q121" s="1030">
        <v>200000</v>
      </c>
    </row>
    <row r="122" spans="1:17">
      <c r="A122" s="836">
        <v>3639</v>
      </c>
      <c r="B122" s="837">
        <v>6130</v>
      </c>
      <c r="C122" s="838" t="s">
        <v>661</v>
      </c>
      <c r="D122" s="839"/>
      <c r="E122" s="839"/>
      <c r="F122" s="839"/>
      <c r="G122" s="839"/>
      <c r="H122" s="839"/>
      <c r="I122" s="839"/>
      <c r="J122" s="1023"/>
      <c r="K122" s="839">
        <v>1010000</v>
      </c>
      <c r="L122" s="839"/>
      <c r="M122" s="845"/>
      <c r="N122" s="842">
        <v>2000000</v>
      </c>
      <c r="O122" s="842">
        <v>2510000</v>
      </c>
      <c r="P122" s="842">
        <v>10000000</v>
      </c>
      <c r="Q122" s="1030">
        <v>9942000</v>
      </c>
    </row>
    <row r="123" spans="1:17" hidden="1">
      <c r="A123" s="773">
        <v>3721</v>
      </c>
      <c r="B123" s="772">
        <v>5169</v>
      </c>
      <c r="C123" s="785" t="s">
        <v>663</v>
      </c>
      <c r="D123" s="784"/>
      <c r="E123" s="784"/>
      <c r="F123" s="784"/>
      <c r="G123" s="784"/>
      <c r="H123" s="784"/>
      <c r="I123" s="784"/>
      <c r="J123" s="803"/>
      <c r="K123" s="784"/>
      <c r="L123" s="784"/>
      <c r="M123" s="825">
        <v>20000</v>
      </c>
      <c r="N123" s="825">
        <v>20000</v>
      </c>
      <c r="O123" s="825">
        <v>40000</v>
      </c>
      <c r="P123" s="825">
        <v>50000</v>
      </c>
      <c r="Q123" s="1030"/>
    </row>
    <row r="124" spans="1:17" hidden="1">
      <c r="A124" s="773">
        <v>3722</v>
      </c>
      <c r="B124" s="772">
        <v>5169</v>
      </c>
      <c r="C124" s="785" t="s">
        <v>664</v>
      </c>
      <c r="D124" s="784">
        <v>1000000</v>
      </c>
      <c r="E124" s="784">
        <v>1000000</v>
      </c>
      <c r="F124" s="784">
        <v>841076.69</v>
      </c>
      <c r="G124" s="784">
        <f t="shared" si="16"/>
        <v>158923.31000000006</v>
      </c>
      <c r="H124" s="784">
        <f t="shared" si="13"/>
        <v>1000000</v>
      </c>
      <c r="I124" s="784">
        <f>H124+200000</f>
        <v>1200000</v>
      </c>
      <c r="J124" s="803"/>
      <c r="K124" s="784">
        <v>869397</v>
      </c>
      <c r="L124" s="784">
        <v>1320000</v>
      </c>
      <c r="M124" s="825">
        <v>1300000</v>
      </c>
      <c r="N124" s="825">
        <v>1400000</v>
      </c>
      <c r="O124" s="825">
        <v>1700000</v>
      </c>
      <c r="P124" s="825">
        <v>2300000</v>
      </c>
      <c r="Q124" s="1030"/>
    </row>
    <row r="125" spans="1:17" hidden="1">
      <c r="A125" s="773">
        <v>3725</v>
      </c>
      <c r="B125" s="772">
        <v>5169</v>
      </c>
      <c r="C125" s="785" t="s">
        <v>665</v>
      </c>
      <c r="D125" s="784">
        <v>750000</v>
      </c>
      <c r="E125" s="784">
        <v>750000</v>
      </c>
      <c r="F125" s="784">
        <v>480203.2</v>
      </c>
      <c r="G125" s="784">
        <f t="shared" si="16"/>
        <v>269796.8</v>
      </c>
      <c r="H125" s="784">
        <f t="shared" si="13"/>
        <v>750000</v>
      </c>
      <c r="I125" s="784">
        <f>H125+100000</f>
        <v>850000</v>
      </c>
      <c r="J125" s="803"/>
      <c r="K125" s="784">
        <v>625633</v>
      </c>
      <c r="L125" s="784">
        <v>935000</v>
      </c>
      <c r="M125" s="825">
        <v>900000</v>
      </c>
      <c r="N125" s="825">
        <v>1100000</v>
      </c>
      <c r="O125" s="825">
        <v>1100000</v>
      </c>
      <c r="P125" s="825">
        <v>1500000</v>
      </c>
      <c r="Q125" s="1030"/>
    </row>
    <row r="126" spans="1:17" hidden="1">
      <c r="A126" s="773">
        <v>3726</v>
      </c>
      <c r="B126" s="772">
        <v>5169</v>
      </c>
      <c r="C126" s="785" t="s">
        <v>666</v>
      </c>
      <c r="D126" s="784">
        <v>260000</v>
      </c>
      <c r="E126" s="784">
        <v>260000</v>
      </c>
      <c r="F126" s="784">
        <v>88985.3</v>
      </c>
      <c r="G126" s="784">
        <f t="shared" si="16"/>
        <v>171014.7</v>
      </c>
      <c r="H126" s="784">
        <f t="shared" si="13"/>
        <v>260000</v>
      </c>
      <c r="I126" s="784">
        <f t="shared" ref="I126:I131" si="17">H126</f>
        <v>260000</v>
      </c>
      <c r="J126" s="803"/>
      <c r="K126" s="784">
        <v>169942</v>
      </c>
      <c r="L126" s="784">
        <v>260000</v>
      </c>
      <c r="M126" s="825">
        <v>260000</v>
      </c>
      <c r="N126" s="825">
        <v>330000</v>
      </c>
      <c r="O126" s="825">
        <v>400000</v>
      </c>
      <c r="P126" s="825">
        <v>500000</v>
      </c>
      <c r="Q126" s="1030"/>
    </row>
    <row r="127" spans="1:17" hidden="1">
      <c r="A127" s="773">
        <v>3729</v>
      </c>
      <c r="B127" s="772">
        <v>5169</v>
      </c>
      <c r="C127" s="785" t="s">
        <v>667</v>
      </c>
      <c r="D127" s="784">
        <v>90000</v>
      </c>
      <c r="E127" s="784">
        <v>90000</v>
      </c>
      <c r="F127" s="784">
        <v>64725.53</v>
      </c>
      <c r="G127" s="784">
        <f t="shared" si="16"/>
        <v>25274.47</v>
      </c>
      <c r="H127" s="784">
        <f t="shared" si="13"/>
        <v>90000</v>
      </c>
      <c r="I127" s="784">
        <f t="shared" si="17"/>
        <v>90000</v>
      </c>
      <c r="J127" s="803"/>
      <c r="K127" s="784">
        <v>79582</v>
      </c>
      <c r="L127" s="784">
        <v>120000</v>
      </c>
      <c r="M127" s="825">
        <v>80000</v>
      </c>
      <c r="N127" s="825">
        <v>130000</v>
      </c>
      <c r="O127" s="825">
        <v>130000</v>
      </c>
      <c r="P127" s="825">
        <v>150000</v>
      </c>
      <c r="Q127" s="1030"/>
    </row>
    <row r="128" spans="1:17" hidden="1">
      <c r="A128" s="773">
        <v>3745</v>
      </c>
      <c r="B128" s="772">
        <v>5137</v>
      </c>
      <c r="C128" s="785" t="s">
        <v>668</v>
      </c>
      <c r="D128" s="784"/>
      <c r="E128" s="784"/>
      <c r="F128" s="784">
        <v>35398</v>
      </c>
      <c r="G128" s="784">
        <v>0</v>
      </c>
      <c r="H128" s="784">
        <f t="shared" si="13"/>
        <v>35398</v>
      </c>
      <c r="I128" s="784">
        <f t="shared" si="17"/>
        <v>35398</v>
      </c>
      <c r="J128" s="803"/>
      <c r="K128" s="784">
        <v>39188</v>
      </c>
      <c r="L128" s="784"/>
      <c r="M128" s="825"/>
      <c r="N128" s="825"/>
      <c r="O128" s="825">
        <v>101000</v>
      </c>
      <c r="P128" s="825">
        <v>150000</v>
      </c>
      <c r="Q128" s="1030"/>
    </row>
    <row r="129" spans="1:17" hidden="1">
      <c r="A129" s="773">
        <v>3745</v>
      </c>
      <c r="B129" s="772">
        <v>5139</v>
      </c>
      <c r="C129" s="785" t="s">
        <v>669</v>
      </c>
      <c r="D129" s="784">
        <v>50000</v>
      </c>
      <c r="E129" s="784">
        <v>50000</v>
      </c>
      <c r="F129" s="784">
        <v>82029.990000000005</v>
      </c>
      <c r="G129" s="784">
        <v>0</v>
      </c>
      <c r="H129" s="784">
        <f t="shared" si="13"/>
        <v>82029.990000000005</v>
      </c>
      <c r="I129" s="784">
        <f t="shared" si="17"/>
        <v>82029.990000000005</v>
      </c>
      <c r="J129" s="803"/>
      <c r="K129" s="784">
        <v>48372</v>
      </c>
      <c r="L129" s="784">
        <v>80000</v>
      </c>
      <c r="M129" s="825">
        <v>30000</v>
      </c>
      <c r="N129" s="825">
        <v>50000</v>
      </c>
      <c r="O129" s="825">
        <v>70000</v>
      </c>
      <c r="P129" s="825">
        <v>80000</v>
      </c>
      <c r="Q129" s="1030"/>
    </row>
    <row r="130" spans="1:17" hidden="1">
      <c r="A130" s="773">
        <v>3745</v>
      </c>
      <c r="B130" s="772">
        <v>5156</v>
      </c>
      <c r="C130" s="785" t="s">
        <v>670</v>
      </c>
      <c r="D130" s="784">
        <v>50000</v>
      </c>
      <c r="E130" s="784">
        <v>50000</v>
      </c>
      <c r="F130" s="784">
        <v>36848</v>
      </c>
      <c r="G130" s="784">
        <f t="shared" si="16"/>
        <v>13152</v>
      </c>
      <c r="H130" s="784">
        <f t="shared" si="13"/>
        <v>50000</v>
      </c>
      <c r="I130" s="784">
        <f t="shared" si="17"/>
        <v>50000</v>
      </c>
      <c r="J130" s="803"/>
      <c r="K130" s="784">
        <v>45873</v>
      </c>
      <c r="L130" s="784">
        <v>50000</v>
      </c>
      <c r="M130" s="825">
        <v>90000</v>
      </c>
      <c r="N130" s="825">
        <v>90000</v>
      </c>
      <c r="O130" s="825">
        <v>90000</v>
      </c>
      <c r="P130" s="825">
        <v>90000</v>
      </c>
      <c r="Q130" s="1030"/>
    </row>
    <row r="131" spans="1:17" hidden="1">
      <c r="A131" s="773">
        <v>3745</v>
      </c>
      <c r="B131" s="772">
        <v>5169</v>
      </c>
      <c r="C131" s="785" t="s">
        <v>648</v>
      </c>
      <c r="D131" s="784"/>
      <c r="E131" s="784">
        <v>130000</v>
      </c>
      <c r="F131" s="784">
        <v>900</v>
      </c>
      <c r="G131" s="784">
        <f t="shared" si="16"/>
        <v>129100</v>
      </c>
      <c r="H131" s="784">
        <f t="shared" si="13"/>
        <v>130000</v>
      </c>
      <c r="I131" s="784">
        <f t="shared" si="17"/>
        <v>130000</v>
      </c>
      <c r="J131" s="803"/>
      <c r="K131" s="784">
        <v>189196</v>
      </c>
      <c r="L131" s="784"/>
      <c r="M131" s="825"/>
      <c r="N131" s="825">
        <v>900000</v>
      </c>
      <c r="O131" s="825">
        <v>400000</v>
      </c>
      <c r="P131" s="825">
        <v>500000</v>
      </c>
      <c r="Q131" s="1030"/>
    </row>
    <row r="132" spans="1:17" hidden="1">
      <c r="A132" s="773">
        <v>3745</v>
      </c>
      <c r="B132" s="799">
        <v>5171</v>
      </c>
      <c r="C132" s="785" t="s">
        <v>671</v>
      </c>
      <c r="D132" s="784"/>
      <c r="E132" s="784"/>
      <c r="F132" s="784"/>
      <c r="G132" s="784" t="e">
        <f>#REF!</f>
        <v>#REF!</v>
      </c>
      <c r="H132" s="784" t="e">
        <f>G132+F132</f>
        <v>#REF!</v>
      </c>
      <c r="I132" s="784" t="e">
        <f>#REF!</f>
        <v>#REF!</v>
      </c>
      <c r="J132" s="803"/>
      <c r="K132" s="784"/>
      <c r="L132" s="784" t="e">
        <f>#REF!</f>
        <v>#REF!</v>
      </c>
      <c r="M132" s="825"/>
      <c r="N132" s="825">
        <v>765000</v>
      </c>
      <c r="O132" s="825">
        <v>500000</v>
      </c>
      <c r="P132" s="825">
        <v>700000</v>
      </c>
      <c r="Q132" s="1030"/>
    </row>
    <row r="133" spans="1:17" hidden="1">
      <c r="A133" s="836">
        <v>3745</v>
      </c>
      <c r="B133" s="837">
        <v>6121</v>
      </c>
      <c r="C133" s="838" t="s">
        <v>672</v>
      </c>
      <c r="D133" s="839">
        <v>50000</v>
      </c>
      <c r="E133" s="839">
        <v>50000</v>
      </c>
      <c r="F133" s="839"/>
      <c r="G133" s="839" t="e">
        <f>#REF!</f>
        <v>#REF!</v>
      </c>
      <c r="H133" s="839" t="e">
        <f t="shared" ref="H133:H182" si="18">G133+F133</f>
        <v>#REF!</v>
      </c>
      <c r="I133" s="839" t="e">
        <f>#REF!</f>
        <v>#REF!</v>
      </c>
      <c r="J133" s="1026">
        <v>-2000000</v>
      </c>
      <c r="K133" s="839"/>
      <c r="L133" s="839">
        <v>1111000</v>
      </c>
      <c r="M133" s="845"/>
      <c r="N133" s="845"/>
      <c r="O133" s="845"/>
      <c r="P133" s="842">
        <v>1080000</v>
      </c>
      <c r="Q133" s="1030"/>
    </row>
    <row r="134" spans="1:17" hidden="1">
      <c r="A134" s="836">
        <v>3745</v>
      </c>
      <c r="B134" s="837">
        <v>6122</v>
      </c>
      <c r="C134" s="838" t="s">
        <v>674</v>
      </c>
      <c r="D134" s="839">
        <v>600000</v>
      </c>
      <c r="E134" s="839">
        <v>300000</v>
      </c>
      <c r="F134" s="839"/>
      <c r="G134" s="839" t="e">
        <f>#REF!</f>
        <v>#REF!</v>
      </c>
      <c r="H134" s="839" t="e">
        <f t="shared" si="18"/>
        <v>#REF!</v>
      </c>
      <c r="I134" s="839" t="e">
        <f>#REF!</f>
        <v>#REF!</v>
      </c>
      <c r="J134" s="1022"/>
      <c r="K134" s="839"/>
      <c r="L134" s="839"/>
      <c r="M134" s="845"/>
      <c r="N134" s="845"/>
      <c r="O134" s="845"/>
      <c r="P134" s="1027">
        <v>250000</v>
      </c>
      <c r="Q134" s="1030"/>
    </row>
    <row r="135" spans="1:17" hidden="1">
      <c r="A135" s="773">
        <v>4349</v>
      </c>
      <c r="B135" s="772">
        <v>5169</v>
      </c>
      <c r="C135" s="785" t="s">
        <v>1214</v>
      </c>
      <c r="D135" s="784"/>
      <c r="E135" s="784"/>
      <c r="F135" s="784"/>
      <c r="G135" s="784"/>
      <c r="H135" s="784"/>
      <c r="I135" s="784"/>
      <c r="J135" s="803"/>
      <c r="K135" s="784"/>
      <c r="L135" s="784"/>
      <c r="M135" s="825"/>
      <c r="N135" s="825"/>
      <c r="O135" s="825">
        <v>100000</v>
      </c>
      <c r="P135" s="825">
        <v>100000</v>
      </c>
      <c r="Q135" s="1030"/>
    </row>
    <row r="136" spans="1:17" hidden="1">
      <c r="A136" s="773">
        <v>5299</v>
      </c>
      <c r="B136" s="772">
        <v>5139</v>
      </c>
      <c r="C136" s="785" t="s">
        <v>643</v>
      </c>
      <c r="D136" s="784"/>
      <c r="E136" s="784">
        <v>20000</v>
      </c>
      <c r="F136" s="784">
        <v>6670</v>
      </c>
      <c r="G136" s="784">
        <f t="shared" si="16"/>
        <v>13330</v>
      </c>
      <c r="H136" s="784">
        <f t="shared" si="18"/>
        <v>20000</v>
      </c>
      <c r="I136" s="784">
        <f t="shared" ref="I136:I142" si="19">H136</f>
        <v>20000</v>
      </c>
      <c r="J136" s="803"/>
      <c r="K136" s="784">
        <v>8409</v>
      </c>
      <c r="L136" s="784">
        <v>10000</v>
      </c>
      <c r="M136" s="825">
        <v>10000</v>
      </c>
      <c r="N136" s="825">
        <v>10000</v>
      </c>
      <c r="O136" s="825"/>
      <c r="P136" s="825">
        <v>10000</v>
      </c>
      <c r="Q136" s="1030"/>
    </row>
    <row r="137" spans="1:17" hidden="1">
      <c r="A137" s="773">
        <v>5512</v>
      </c>
      <c r="B137" s="772">
        <v>5137</v>
      </c>
      <c r="C137" s="785" t="s">
        <v>676</v>
      </c>
      <c r="D137" s="784">
        <v>30000</v>
      </c>
      <c r="E137" s="784">
        <v>30000</v>
      </c>
      <c r="F137" s="784"/>
      <c r="G137" s="784">
        <f t="shared" si="16"/>
        <v>30000</v>
      </c>
      <c r="H137" s="784">
        <f t="shared" si="18"/>
        <v>30000</v>
      </c>
      <c r="I137" s="784">
        <f t="shared" si="19"/>
        <v>30000</v>
      </c>
      <c r="J137" s="803"/>
      <c r="K137" s="784"/>
      <c r="L137" s="784">
        <v>15000</v>
      </c>
      <c r="M137" s="825"/>
      <c r="N137" s="825">
        <v>20000</v>
      </c>
      <c r="O137" s="825">
        <v>652800</v>
      </c>
      <c r="P137" s="825">
        <v>300000</v>
      </c>
      <c r="Q137" s="1030"/>
    </row>
    <row r="138" spans="1:17" hidden="1">
      <c r="A138" s="773">
        <v>5512</v>
      </c>
      <c r="B138" s="772">
        <v>5139</v>
      </c>
      <c r="C138" s="785" t="s">
        <v>677</v>
      </c>
      <c r="D138" s="784">
        <v>5000</v>
      </c>
      <c r="E138" s="784">
        <v>5000</v>
      </c>
      <c r="F138" s="784">
        <v>3948</v>
      </c>
      <c r="G138" s="784">
        <f t="shared" si="16"/>
        <v>1052</v>
      </c>
      <c r="H138" s="784">
        <f t="shared" si="18"/>
        <v>5000</v>
      </c>
      <c r="I138" s="784">
        <f t="shared" si="19"/>
        <v>5000</v>
      </c>
      <c r="J138" s="803"/>
      <c r="K138" s="784"/>
      <c r="L138" s="784">
        <v>5000</v>
      </c>
      <c r="M138" s="825">
        <v>20000</v>
      </c>
      <c r="N138" s="825">
        <v>20000</v>
      </c>
      <c r="O138" s="825">
        <v>5000</v>
      </c>
      <c r="P138" s="825">
        <v>20000</v>
      </c>
      <c r="Q138" s="1030"/>
    </row>
    <row r="139" spans="1:17" hidden="1">
      <c r="A139" s="773">
        <v>5512</v>
      </c>
      <c r="B139" s="772">
        <v>5156</v>
      </c>
      <c r="C139" s="785" t="s">
        <v>678</v>
      </c>
      <c r="D139" s="784">
        <v>2000</v>
      </c>
      <c r="E139" s="784">
        <v>2000</v>
      </c>
      <c r="F139" s="784">
        <v>1150</v>
      </c>
      <c r="G139" s="784">
        <f t="shared" si="16"/>
        <v>850</v>
      </c>
      <c r="H139" s="784">
        <f t="shared" si="18"/>
        <v>2000</v>
      </c>
      <c r="I139" s="784">
        <f t="shared" si="19"/>
        <v>2000</v>
      </c>
      <c r="J139" s="803"/>
      <c r="K139" s="784">
        <v>2062</v>
      </c>
      <c r="L139" s="784">
        <v>2000</v>
      </c>
      <c r="M139" s="825">
        <v>6000</v>
      </c>
      <c r="N139" s="825">
        <v>5000</v>
      </c>
      <c r="O139" s="825">
        <v>5000</v>
      </c>
      <c r="P139" s="825">
        <v>6000</v>
      </c>
      <c r="Q139" s="1030"/>
    </row>
    <row r="140" spans="1:17" hidden="1">
      <c r="A140" s="773">
        <v>5512</v>
      </c>
      <c r="B140" s="772">
        <v>5163</v>
      </c>
      <c r="C140" s="785" t="s">
        <v>679</v>
      </c>
      <c r="D140" s="784">
        <v>2400</v>
      </c>
      <c r="E140" s="784">
        <v>2400</v>
      </c>
      <c r="F140" s="784">
        <v>2329</v>
      </c>
      <c r="G140" s="784">
        <f t="shared" si="16"/>
        <v>71</v>
      </c>
      <c r="H140" s="784">
        <f t="shared" si="18"/>
        <v>2400</v>
      </c>
      <c r="I140" s="784">
        <f t="shared" si="19"/>
        <v>2400</v>
      </c>
      <c r="J140" s="803"/>
      <c r="K140" s="784">
        <v>2329</v>
      </c>
      <c r="L140" s="784">
        <v>2400</v>
      </c>
      <c r="M140" s="825">
        <v>2400</v>
      </c>
      <c r="N140" s="825">
        <v>2400</v>
      </c>
      <c r="O140" s="825">
        <v>2400</v>
      </c>
      <c r="P140" s="825">
        <v>3000</v>
      </c>
      <c r="Q140" s="1030"/>
    </row>
    <row r="141" spans="1:17" hidden="1">
      <c r="A141" s="773">
        <v>5512</v>
      </c>
      <c r="B141" s="772">
        <v>5167</v>
      </c>
      <c r="C141" s="785" t="s">
        <v>680</v>
      </c>
      <c r="D141" s="784">
        <v>5000</v>
      </c>
      <c r="E141" s="784">
        <v>5000</v>
      </c>
      <c r="F141" s="784"/>
      <c r="G141" s="784">
        <f t="shared" si="16"/>
        <v>5000</v>
      </c>
      <c r="H141" s="784">
        <f t="shared" si="18"/>
        <v>5000</v>
      </c>
      <c r="I141" s="784">
        <f t="shared" si="19"/>
        <v>5000</v>
      </c>
      <c r="J141" s="803"/>
      <c r="K141" s="784"/>
      <c r="L141" s="784">
        <v>5000</v>
      </c>
      <c r="M141" s="825"/>
      <c r="N141" s="825">
        <v>5000</v>
      </c>
      <c r="O141" s="825"/>
      <c r="P141" s="825">
        <v>30000</v>
      </c>
      <c r="Q141" s="1030"/>
    </row>
    <row r="142" spans="1:17" hidden="1">
      <c r="A142" s="773">
        <v>5512</v>
      </c>
      <c r="B142" s="772">
        <v>5171</v>
      </c>
      <c r="C142" s="785" t="s">
        <v>681</v>
      </c>
      <c r="D142" s="784">
        <v>5000</v>
      </c>
      <c r="E142" s="784">
        <v>5000</v>
      </c>
      <c r="F142" s="784"/>
      <c r="G142" s="784">
        <f t="shared" si="16"/>
        <v>5000</v>
      </c>
      <c r="H142" s="784">
        <f t="shared" si="18"/>
        <v>5000</v>
      </c>
      <c r="I142" s="784">
        <f t="shared" si="19"/>
        <v>5000</v>
      </c>
      <c r="J142" s="803"/>
      <c r="K142" s="784">
        <v>3422</v>
      </c>
      <c r="L142" s="784">
        <v>5000</v>
      </c>
      <c r="M142" s="825">
        <v>25000</v>
      </c>
      <c r="N142" s="825">
        <v>20000</v>
      </c>
      <c r="O142" s="825"/>
      <c r="P142" s="825">
        <v>50000</v>
      </c>
      <c r="Q142" s="1030"/>
    </row>
    <row r="143" spans="1:17" hidden="1">
      <c r="A143" s="773">
        <v>5512</v>
      </c>
      <c r="B143" s="772">
        <v>5222</v>
      </c>
      <c r="C143" s="785" t="s">
        <v>682</v>
      </c>
      <c r="D143" s="784"/>
      <c r="E143" s="784"/>
      <c r="F143" s="784"/>
      <c r="G143" s="784"/>
      <c r="H143" s="784"/>
      <c r="I143" s="784"/>
      <c r="J143" s="803"/>
      <c r="K143" s="784"/>
      <c r="L143" s="784"/>
      <c r="M143" s="825"/>
      <c r="N143" s="825"/>
      <c r="O143" s="825">
        <v>20000</v>
      </c>
      <c r="P143" s="825">
        <v>40000</v>
      </c>
      <c r="Q143" s="1030"/>
    </row>
    <row r="144" spans="1:17" hidden="1">
      <c r="A144" s="836">
        <v>5512</v>
      </c>
      <c r="B144" s="837">
        <v>6121</v>
      </c>
      <c r="C144" s="838" t="s">
        <v>683</v>
      </c>
      <c r="D144" s="839"/>
      <c r="E144" s="839"/>
      <c r="F144" s="839"/>
      <c r="G144" s="839" t="e">
        <f>#REF!</f>
        <v>#REF!</v>
      </c>
      <c r="H144" s="839" t="e">
        <f t="shared" si="18"/>
        <v>#REF!</v>
      </c>
      <c r="I144" s="839" t="e">
        <f>#REF!</f>
        <v>#REF!</v>
      </c>
      <c r="J144" s="1022"/>
      <c r="K144" s="839"/>
      <c r="L144" s="839"/>
      <c r="M144" s="842"/>
      <c r="N144" s="842"/>
      <c r="O144" s="842"/>
      <c r="P144" s="842">
        <v>500000</v>
      </c>
      <c r="Q144" s="1030"/>
    </row>
    <row r="145" spans="1:17" hidden="1">
      <c r="A145" s="773">
        <v>6112</v>
      </c>
      <c r="B145" s="772">
        <v>5023</v>
      </c>
      <c r="C145" s="785" t="s">
        <v>685</v>
      </c>
      <c r="D145" s="784">
        <f>1400000+150000</f>
        <v>1550000</v>
      </c>
      <c r="E145" s="784">
        <v>1550000</v>
      </c>
      <c r="F145" s="784">
        <v>1149263</v>
      </c>
      <c r="G145" s="784">
        <f t="shared" si="16"/>
        <v>400737</v>
      </c>
      <c r="H145" s="784">
        <f t="shared" si="18"/>
        <v>1550000</v>
      </c>
      <c r="I145" s="784">
        <f t="shared" ref="I145:I171" si="20">H145</f>
        <v>1550000</v>
      </c>
      <c r="J145" s="803"/>
      <c r="K145" s="784">
        <v>1267163</v>
      </c>
      <c r="L145" s="784">
        <v>1550000</v>
      </c>
      <c r="M145" s="825">
        <v>1800000</v>
      </c>
      <c r="N145" s="825">
        <v>1760000</v>
      </c>
      <c r="O145" s="825">
        <v>1760000</v>
      </c>
      <c r="P145" s="825">
        <v>2100000</v>
      </c>
      <c r="Q145" s="1030"/>
    </row>
    <row r="146" spans="1:17" hidden="1">
      <c r="A146" s="773">
        <v>6112</v>
      </c>
      <c r="B146" s="772">
        <v>5026</v>
      </c>
      <c r="C146" s="785" t="s">
        <v>687</v>
      </c>
      <c r="D146" s="784"/>
      <c r="E146" s="784"/>
      <c r="F146" s="784"/>
      <c r="G146" s="784"/>
      <c r="H146" s="784"/>
      <c r="I146" s="784"/>
      <c r="J146" s="803"/>
      <c r="K146" s="784"/>
      <c r="L146" s="784"/>
      <c r="M146" s="825"/>
      <c r="N146" s="825"/>
      <c r="O146" s="825">
        <v>340000</v>
      </c>
      <c r="P146" s="825"/>
      <c r="Q146" s="1030"/>
    </row>
    <row r="147" spans="1:17" hidden="1">
      <c r="A147" s="773">
        <v>6112</v>
      </c>
      <c r="B147" s="772">
        <v>5031</v>
      </c>
      <c r="C147" s="785" t="s">
        <v>688</v>
      </c>
      <c r="D147" s="784">
        <v>270000</v>
      </c>
      <c r="E147" s="784">
        <v>270000</v>
      </c>
      <c r="F147" s="784">
        <v>222151</v>
      </c>
      <c r="G147" s="784">
        <f t="shared" si="16"/>
        <v>47849</v>
      </c>
      <c r="H147" s="784">
        <f t="shared" si="18"/>
        <v>270000</v>
      </c>
      <c r="I147" s="784">
        <f t="shared" si="20"/>
        <v>270000</v>
      </c>
      <c r="J147" s="803"/>
      <c r="K147" s="784">
        <v>252558</v>
      </c>
      <c r="L147" s="784">
        <v>270000</v>
      </c>
      <c r="M147" s="825">
        <v>300000</v>
      </c>
      <c r="N147" s="825">
        <v>330000</v>
      </c>
      <c r="O147" s="825">
        <v>250000</v>
      </c>
      <c r="P147" s="825"/>
      <c r="Q147" s="1030"/>
    </row>
    <row r="148" spans="1:17" hidden="1">
      <c r="A148" s="773">
        <v>6112</v>
      </c>
      <c r="B148" s="772">
        <v>5032</v>
      </c>
      <c r="C148" s="785" t="s">
        <v>689</v>
      </c>
      <c r="D148" s="784">
        <v>125000</v>
      </c>
      <c r="E148" s="784">
        <v>125000</v>
      </c>
      <c r="F148" s="784">
        <v>100555</v>
      </c>
      <c r="G148" s="784">
        <f t="shared" si="16"/>
        <v>24445</v>
      </c>
      <c r="H148" s="784">
        <f t="shared" si="18"/>
        <v>125000</v>
      </c>
      <c r="I148" s="784">
        <f t="shared" si="20"/>
        <v>125000</v>
      </c>
      <c r="J148" s="803"/>
      <c r="K148" s="784">
        <v>115047</v>
      </c>
      <c r="L148" s="784">
        <v>125000</v>
      </c>
      <c r="M148" s="825">
        <v>150000</v>
      </c>
      <c r="N148" s="825">
        <v>165000</v>
      </c>
      <c r="O148" s="825">
        <v>165000</v>
      </c>
      <c r="P148" s="825">
        <v>190000</v>
      </c>
      <c r="Q148" s="1030"/>
    </row>
    <row r="149" spans="1:17" hidden="1">
      <c r="A149" s="773" t="s">
        <v>690</v>
      </c>
      <c r="B149" s="772">
        <v>5021</v>
      </c>
      <c r="C149" s="785" t="s">
        <v>691</v>
      </c>
      <c r="D149" s="784"/>
      <c r="E149" s="784"/>
      <c r="F149" s="784">
        <v>8851.15</v>
      </c>
      <c r="G149" s="784">
        <v>0</v>
      </c>
      <c r="H149" s="784">
        <f t="shared" si="18"/>
        <v>8851.15</v>
      </c>
      <c r="I149" s="784">
        <f t="shared" si="20"/>
        <v>8851.15</v>
      </c>
      <c r="J149" s="803">
        <v>-8851</v>
      </c>
      <c r="K149" s="784"/>
      <c r="L149" s="784"/>
      <c r="M149" s="825"/>
      <c r="N149" s="825"/>
      <c r="O149" s="825">
        <f>8929+35504</f>
        <v>44433</v>
      </c>
      <c r="P149" s="825"/>
      <c r="Q149" s="1030"/>
    </row>
    <row r="150" spans="1:17" hidden="1">
      <c r="A150" s="773" t="s">
        <v>690</v>
      </c>
      <c r="B150" s="772">
        <v>5175</v>
      </c>
      <c r="C150" s="785" t="s">
        <v>692</v>
      </c>
      <c r="D150" s="784"/>
      <c r="E150" s="784"/>
      <c r="F150" s="784"/>
      <c r="G150" s="784"/>
      <c r="H150" s="784"/>
      <c r="I150" s="784"/>
      <c r="J150" s="803"/>
      <c r="K150" s="784"/>
      <c r="L150" s="784"/>
      <c r="M150" s="825"/>
      <c r="N150" s="825"/>
      <c r="O150" s="825">
        <f>1266+3096</f>
        <v>4362</v>
      </c>
      <c r="P150" s="825"/>
      <c r="Q150" s="1030"/>
    </row>
    <row r="151" spans="1:17" hidden="1">
      <c r="A151" s="773">
        <v>6171</v>
      </c>
      <c r="B151" s="772">
        <v>5011</v>
      </c>
      <c r="C151" s="785" t="s">
        <v>693</v>
      </c>
      <c r="D151" s="784">
        <v>400000</v>
      </c>
      <c r="E151" s="784">
        <v>700000</v>
      </c>
      <c r="F151" s="784">
        <v>582730</v>
      </c>
      <c r="G151" s="784">
        <f t="shared" ref="G151:G182" si="21">E151-F151</f>
        <v>117270</v>
      </c>
      <c r="H151" s="784">
        <f t="shared" si="18"/>
        <v>700000</v>
      </c>
      <c r="I151" s="784">
        <f t="shared" si="20"/>
        <v>700000</v>
      </c>
      <c r="J151" s="803"/>
      <c r="K151" s="784">
        <v>679093</v>
      </c>
      <c r="L151" s="784">
        <v>750000</v>
      </c>
      <c r="M151" s="825">
        <v>900000</v>
      </c>
      <c r="N151" s="825">
        <v>1000000</v>
      </c>
      <c r="O151" s="825">
        <v>1100000</v>
      </c>
      <c r="P151" s="825">
        <v>2500000</v>
      </c>
      <c r="Q151" s="1030"/>
    </row>
    <row r="152" spans="1:17" hidden="1">
      <c r="A152" s="773">
        <v>6171</v>
      </c>
      <c r="B152" s="772">
        <v>5021</v>
      </c>
      <c r="C152" s="785" t="s">
        <v>694</v>
      </c>
      <c r="D152" s="784">
        <v>60000</v>
      </c>
      <c r="E152" s="784">
        <v>60000</v>
      </c>
      <c r="F152" s="784">
        <v>36445</v>
      </c>
      <c r="G152" s="784">
        <f t="shared" si="21"/>
        <v>23555</v>
      </c>
      <c r="H152" s="784">
        <f t="shared" si="18"/>
        <v>60000</v>
      </c>
      <c r="I152" s="784">
        <f t="shared" si="20"/>
        <v>60000</v>
      </c>
      <c r="J152" s="803"/>
      <c r="K152" s="784">
        <v>70573</v>
      </c>
      <c r="L152" s="784">
        <v>90000</v>
      </c>
      <c r="M152" s="825">
        <v>120000</v>
      </c>
      <c r="N152" s="825">
        <v>120000</v>
      </c>
      <c r="O152" s="825">
        <v>200000</v>
      </c>
      <c r="P152" s="825">
        <v>220000</v>
      </c>
      <c r="Q152" s="1030"/>
    </row>
    <row r="153" spans="1:17" hidden="1">
      <c r="A153" s="773">
        <v>6171</v>
      </c>
      <c r="B153" s="772">
        <v>5031</v>
      </c>
      <c r="C153" s="785" t="s">
        <v>695</v>
      </c>
      <c r="D153" s="784">
        <v>120000</v>
      </c>
      <c r="E153" s="784">
        <v>120000</v>
      </c>
      <c r="F153" s="784">
        <v>144340</v>
      </c>
      <c r="G153" s="784">
        <f>0.25*G151</f>
        <v>29317.5</v>
      </c>
      <c r="H153" s="784">
        <f t="shared" si="18"/>
        <v>173657.5</v>
      </c>
      <c r="I153" s="784">
        <f t="shared" si="20"/>
        <v>173657.5</v>
      </c>
      <c r="J153" s="803"/>
      <c r="K153" s="784">
        <v>180934</v>
      </c>
      <c r="L153" s="784">
        <v>200000</v>
      </c>
      <c r="M153" s="825">
        <v>250000</v>
      </c>
      <c r="N153" s="825">
        <v>250000</v>
      </c>
      <c r="O153" s="825">
        <v>300000</v>
      </c>
      <c r="P153" s="825">
        <v>620000</v>
      </c>
      <c r="Q153" s="1030"/>
    </row>
    <row r="154" spans="1:17" hidden="1">
      <c r="A154" s="773">
        <v>6171</v>
      </c>
      <c r="B154" s="772">
        <v>5032</v>
      </c>
      <c r="C154" s="785" t="s">
        <v>696</v>
      </c>
      <c r="D154" s="784">
        <v>40000</v>
      </c>
      <c r="E154" s="784">
        <v>40000</v>
      </c>
      <c r="F154" s="784">
        <v>52351</v>
      </c>
      <c r="G154" s="784">
        <f>0.1*G151</f>
        <v>11727</v>
      </c>
      <c r="H154" s="784">
        <f t="shared" si="18"/>
        <v>64078</v>
      </c>
      <c r="I154" s="784">
        <f t="shared" si="20"/>
        <v>64078</v>
      </c>
      <c r="J154" s="803"/>
      <c r="K154" s="784">
        <v>65662</v>
      </c>
      <c r="L154" s="784">
        <v>80000</v>
      </c>
      <c r="M154" s="825">
        <v>90000</v>
      </c>
      <c r="N154" s="825">
        <v>125000</v>
      </c>
      <c r="O154" s="825">
        <v>125000</v>
      </c>
      <c r="P154" s="825">
        <v>225000</v>
      </c>
      <c r="Q154" s="1030"/>
    </row>
    <row r="155" spans="1:17" hidden="1">
      <c r="A155" s="773">
        <v>6171</v>
      </c>
      <c r="B155" s="772">
        <v>5038</v>
      </c>
      <c r="C155" s="785" t="s">
        <v>697</v>
      </c>
      <c r="D155" s="784">
        <v>1000</v>
      </c>
      <c r="E155" s="784">
        <v>1000</v>
      </c>
      <c r="F155" s="784">
        <v>279</v>
      </c>
      <c r="G155" s="784">
        <f t="shared" si="21"/>
        <v>721</v>
      </c>
      <c r="H155" s="784">
        <f t="shared" si="18"/>
        <v>1000</v>
      </c>
      <c r="I155" s="784">
        <f t="shared" si="20"/>
        <v>1000</v>
      </c>
      <c r="J155" s="803"/>
      <c r="K155" s="784">
        <v>473</v>
      </c>
      <c r="L155" s="784">
        <v>1000</v>
      </c>
      <c r="M155" s="825">
        <v>1000</v>
      </c>
      <c r="N155" s="825">
        <v>1000</v>
      </c>
      <c r="O155" s="825">
        <v>1000</v>
      </c>
      <c r="P155" s="825">
        <v>5000</v>
      </c>
      <c r="Q155" s="1030"/>
    </row>
    <row r="156" spans="1:17" hidden="1">
      <c r="A156" s="773">
        <v>6171</v>
      </c>
      <c r="B156" s="772">
        <v>5137</v>
      </c>
      <c r="C156" s="785" t="s">
        <v>698</v>
      </c>
      <c r="D156" s="784">
        <v>20000</v>
      </c>
      <c r="E156" s="784">
        <v>45000</v>
      </c>
      <c r="F156" s="784">
        <v>41317.78</v>
      </c>
      <c r="G156" s="784">
        <f t="shared" si="21"/>
        <v>3682.2200000000012</v>
      </c>
      <c r="H156" s="784">
        <f t="shared" si="18"/>
        <v>45000</v>
      </c>
      <c r="I156" s="784">
        <f t="shared" si="20"/>
        <v>45000</v>
      </c>
      <c r="J156" s="803"/>
      <c r="K156" s="784"/>
      <c r="L156" s="784"/>
      <c r="M156" s="825"/>
      <c r="N156" s="825">
        <v>100000</v>
      </c>
      <c r="O156" s="825">
        <v>100000</v>
      </c>
      <c r="P156" s="825">
        <v>100000</v>
      </c>
      <c r="Q156" s="1030"/>
    </row>
    <row r="157" spans="1:17" hidden="1">
      <c r="A157" s="773">
        <v>6171</v>
      </c>
      <c r="B157" s="772">
        <v>5139</v>
      </c>
      <c r="C157" s="785" t="s">
        <v>699</v>
      </c>
      <c r="D157" s="784">
        <v>45000</v>
      </c>
      <c r="E157" s="784">
        <v>85000</v>
      </c>
      <c r="F157" s="784">
        <v>98068.03</v>
      </c>
      <c r="G157" s="784">
        <f>100000-F157</f>
        <v>1931.9700000000012</v>
      </c>
      <c r="H157" s="784">
        <f t="shared" si="18"/>
        <v>100000</v>
      </c>
      <c r="I157" s="784">
        <f t="shared" si="20"/>
        <v>100000</v>
      </c>
      <c r="J157" s="803"/>
      <c r="K157" s="784">
        <v>101131</v>
      </c>
      <c r="L157" s="784">
        <v>110000</v>
      </c>
      <c r="M157" s="825">
        <v>50000</v>
      </c>
      <c r="N157" s="825">
        <v>100000</v>
      </c>
      <c r="O157" s="825">
        <v>130000</v>
      </c>
      <c r="P157" s="825">
        <v>150000</v>
      </c>
      <c r="Q157" s="1030"/>
    </row>
    <row r="158" spans="1:17" hidden="1">
      <c r="A158" s="773">
        <v>6171</v>
      </c>
      <c r="B158" s="772">
        <v>5151</v>
      </c>
      <c r="C158" s="785" t="s">
        <v>700</v>
      </c>
      <c r="D158" s="784">
        <v>1000</v>
      </c>
      <c r="E158" s="784">
        <v>1600</v>
      </c>
      <c r="F158" s="784">
        <v>1327</v>
      </c>
      <c r="G158" s="784">
        <f t="shared" si="21"/>
        <v>273</v>
      </c>
      <c r="H158" s="784">
        <f t="shared" si="18"/>
        <v>1600</v>
      </c>
      <c r="I158" s="784">
        <f t="shared" si="20"/>
        <v>1600</v>
      </c>
      <c r="J158" s="803"/>
      <c r="K158" s="784"/>
      <c r="L158" s="784">
        <v>1600</v>
      </c>
      <c r="M158" s="825">
        <v>4000</v>
      </c>
      <c r="N158" s="825">
        <v>5000</v>
      </c>
      <c r="O158" s="825">
        <v>15000</v>
      </c>
      <c r="P158" s="825">
        <v>15000</v>
      </c>
      <c r="Q158" s="1030"/>
    </row>
    <row r="159" spans="1:17" hidden="1">
      <c r="A159" s="773">
        <v>6171</v>
      </c>
      <c r="B159" s="772">
        <v>5153</v>
      </c>
      <c r="C159" s="785" t="s">
        <v>701</v>
      </c>
      <c r="D159" s="784">
        <v>40000</v>
      </c>
      <c r="E159" s="784">
        <v>40000</v>
      </c>
      <c r="F159" s="784">
        <v>31500</v>
      </c>
      <c r="G159" s="784">
        <f t="shared" si="21"/>
        <v>8500</v>
      </c>
      <c r="H159" s="784">
        <f t="shared" si="18"/>
        <v>40000</v>
      </c>
      <c r="I159" s="784">
        <f t="shared" si="20"/>
        <v>40000</v>
      </c>
      <c r="J159" s="803"/>
      <c r="K159" s="784">
        <v>30600</v>
      </c>
      <c r="L159" s="784">
        <v>40000</v>
      </c>
      <c r="M159" s="825">
        <v>40000</v>
      </c>
      <c r="N159" s="825">
        <v>40000</v>
      </c>
      <c r="O159" s="825">
        <v>50000</v>
      </c>
      <c r="P159" s="825">
        <v>50000</v>
      </c>
      <c r="Q159" s="1030"/>
    </row>
    <row r="160" spans="1:17" hidden="1">
      <c r="A160" s="773">
        <v>6171</v>
      </c>
      <c r="B160" s="772">
        <v>5154</v>
      </c>
      <c r="C160" s="785" t="s">
        <v>702</v>
      </c>
      <c r="D160" s="784">
        <v>15000</v>
      </c>
      <c r="E160" s="784">
        <v>15000</v>
      </c>
      <c r="F160" s="784">
        <v>10640</v>
      </c>
      <c r="G160" s="784">
        <f t="shared" si="21"/>
        <v>4360</v>
      </c>
      <c r="H160" s="784">
        <f t="shared" si="18"/>
        <v>15000</v>
      </c>
      <c r="I160" s="784">
        <f t="shared" si="20"/>
        <v>15000</v>
      </c>
      <c r="J160" s="803"/>
      <c r="K160" s="784"/>
      <c r="L160" s="784">
        <v>15000</v>
      </c>
      <c r="M160" s="825">
        <v>60000</v>
      </c>
      <c r="N160" s="825">
        <v>80000</v>
      </c>
      <c r="O160" s="825">
        <v>60000</v>
      </c>
      <c r="P160" s="825">
        <v>60000</v>
      </c>
      <c r="Q160" s="1030"/>
    </row>
    <row r="161" spans="1:17" hidden="1">
      <c r="A161" s="773">
        <v>6171</v>
      </c>
      <c r="B161" s="772">
        <v>5161</v>
      </c>
      <c r="C161" s="785" t="s">
        <v>703</v>
      </c>
      <c r="D161" s="784">
        <v>5000</v>
      </c>
      <c r="E161" s="784">
        <v>5000</v>
      </c>
      <c r="F161" s="784">
        <v>10071</v>
      </c>
      <c r="G161" s="784">
        <f>12000-F161</f>
        <v>1929</v>
      </c>
      <c r="H161" s="784">
        <f t="shared" si="18"/>
        <v>12000</v>
      </c>
      <c r="I161" s="784">
        <f t="shared" si="20"/>
        <v>12000</v>
      </c>
      <c r="J161" s="803"/>
      <c r="K161" s="784">
        <v>1718</v>
      </c>
      <c r="L161" s="784">
        <v>5000</v>
      </c>
      <c r="M161" s="825">
        <v>3000</v>
      </c>
      <c r="N161" s="825">
        <v>5000</v>
      </c>
      <c r="O161" s="825">
        <v>5000</v>
      </c>
      <c r="P161" s="825">
        <v>5000</v>
      </c>
      <c r="Q161" s="1030"/>
    </row>
    <row r="162" spans="1:17" hidden="1">
      <c r="A162" s="773">
        <v>6171</v>
      </c>
      <c r="B162" s="772">
        <v>5162</v>
      </c>
      <c r="C162" s="785" t="s">
        <v>704</v>
      </c>
      <c r="D162" s="784">
        <v>25000</v>
      </c>
      <c r="E162" s="784">
        <v>25000</v>
      </c>
      <c r="F162" s="784">
        <v>19428.080000000002</v>
      </c>
      <c r="G162" s="784">
        <f t="shared" si="21"/>
        <v>5571.9199999999983</v>
      </c>
      <c r="H162" s="784">
        <f t="shared" si="18"/>
        <v>25000</v>
      </c>
      <c r="I162" s="784">
        <f t="shared" si="20"/>
        <v>25000</v>
      </c>
      <c r="J162" s="803"/>
      <c r="K162" s="784">
        <v>28542</v>
      </c>
      <c r="L162" s="784">
        <v>30000</v>
      </c>
      <c r="M162" s="825">
        <v>30000</v>
      </c>
      <c r="N162" s="825">
        <v>30000</v>
      </c>
      <c r="O162" s="825">
        <v>35000</v>
      </c>
      <c r="P162" s="825">
        <v>35000</v>
      </c>
      <c r="Q162" s="1030"/>
    </row>
    <row r="163" spans="1:17" hidden="1">
      <c r="A163" s="773">
        <v>6171</v>
      </c>
      <c r="B163" s="772">
        <v>5163</v>
      </c>
      <c r="C163" s="785" t="s">
        <v>705</v>
      </c>
      <c r="D163" s="784">
        <v>30000</v>
      </c>
      <c r="E163" s="784">
        <v>30000</v>
      </c>
      <c r="F163" s="784">
        <v>23564.799999999999</v>
      </c>
      <c r="G163" s="784">
        <f t="shared" si="21"/>
        <v>6435.2000000000007</v>
      </c>
      <c r="H163" s="784">
        <f t="shared" si="18"/>
        <v>30000</v>
      </c>
      <c r="I163" s="784">
        <f t="shared" si="20"/>
        <v>30000</v>
      </c>
      <c r="J163" s="803"/>
      <c r="K163" s="784">
        <v>70124</v>
      </c>
      <c r="L163" s="784">
        <v>70500</v>
      </c>
      <c r="M163" s="825">
        <v>90000</v>
      </c>
      <c r="N163" s="825">
        <v>90000</v>
      </c>
      <c r="O163" s="825">
        <v>90000</v>
      </c>
      <c r="P163" s="825">
        <v>90000</v>
      </c>
      <c r="Q163" s="1030"/>
    </row>
    <row r="164" spans="1:17" hidden="1">
      <c r="A164" s="773">
        <v>6171</v>
      </c>
      <c r="B164" s="772">
        <v>5166</v>
      </c>
      <c r="C164" s="785" t="s">
        <v>706</v>
      </c>
      <c r="D164" s="784">
        <v>100000</v>
      </c>
      <c r="E164" s="784">
        <v>100000</v>
      </c>
      <c r="F164" s="784">
        <v>25168</v>
      </c>
      <c r="G164" s="784">
        <f t="shared" si="21"/>
        <v>74832</v>
      </c>
      <c r="H164" s="784">
        <f t="shared" si="18"/>
        <v>100000</v>
      </c>
      <c r="I164" s="784">
        <f t="shared" si="20"/>
        <v>100000</v>
      </c>
      <c r="J164" s="803"/>
      <c r="K164" s="784">
        <v>44162</v>
      </c>
      <c r="L164" s="784">
        <v>100000</v>
      </c>
      <c r="M164" s="825">
        <v>450000</v>
      </c>
      <c r="N164" s="825">
        <v>200000</v>
      </c>
      <c r="O164" s="825">
        <v>400000</v>
      </c>
      <c r="P164" s="825">
        <v>1000000</v>
      </c>
      <c r="Q164" s="1030"/>
    </row>
    <row r="165" spans="1:17" hidden="1">
      <c r="A165" s="773">
        <v>6171</v>
      </c>
      <c r="B165" s="772">
        <v>5167</v>
      </c>
      <c r="C165" s="785" t="s">
        <v>707</v>
      </c>
      <c r="D165" s="784">
        <v>5000</v>
      </c>
      <c r="E165" s="784">
        <v>5000</v>
      </c>
      <c r="F165" s="784">
        <v>1000</v>
      </c>
      <c r="G165" s="784">
        <f t="shared" si="21"/>
        <v>4000</v>
      </c>
      <c r="H165" s="784">
        <f t="shared" si="18"/>
        <v>5000</v>
      </c>
      <c r="I165" s="784">
        <f t="shared" si="20"/>
        <v>5000</v>
      </c>
      <c r="J165" s="803"/>
      <c r="K165" s="784">
        <v>800</v>
      </c>
      <c r="L165" s="784">
        <v>5000</v>
      </c>
      <c r="M165" s="825"/>
      <c r="N165" s="825">
        <v>5000</v>
      </c>
      <c r="O165" s="825"/>
      <c r="P165" s="825">
        <v>30000</v>
      </c>
      <c r="Q165" s="1030"/>
    </row>
    <row r="166" spans="1:17" hidden="1">
      <c r="A166" s="773">
        <v>6171</v>
      </c>
      <c r="B166" s="772">
        <v>5168</v>
      </c>
      <c r="C166" s="785" t="s">
        <v>708</v>
      </c>
      <c r="D166" s="784">
        <v>230000</v>
      </c>
      <c r="E166" s="784">
        <v>230000</v>
      </c>
      <c r="F166" s="784">
        <v>208858.12</v>
      </c>
      <c r="G166" s="784">
        <f t="shared" si="21"/>
        <v>21141.880000000005</v>
      </c>
      <c r="H166" s="784">
        <f t="shared" si="18"/>
        <v>230000</v>
      </c>
      <c r="I166" s="784">
        <f t="shared" si="20"/>
        <v>230000</v>
      </c>
      <c r="J166" s="803"/>
      <c r="K166" s="784">
        <v>189141</v>
      </c>
      <c r="L166" s="784">
        <v>230000</v>
      </c>
      <c r="M166" s="825">
        <v>250000</v>
      </c>
      <c r="N166" s="825">
        <v>300000</v>
      </c>
      <c r="O166" s="825">
        <v>300000</v>
      </c>
      <c r="P166" s="825">
        <v>350000</v>
      </c>
      <c r="Q166" s="1030"/>
    </row>
    <row r="167" spans="1:17" hidden="1">
      <c r="A167" s="773">
        <v>6171</v>
      </c>
      <c r="B167" s="772">
        <v>5169</v>
      </c>
      <c r="C167" s="785" t="s">
        <v>709</v>
      </c>
      <c r="D167" s="784">
        <v>70000</v>
      </c>
      <c r="E167" s="784">
        <v>70000</v>
      </c>
      <c r="F167" s="784">
        <v>18863.400000000001</v>
      </c>
      <c r="G167" s="784">
        <f t="shared" si="21"/>
        <v>51136.6</v>
      </c>
      <c r="H167" s="784">
        <f t="shared" si="18"/>
        <v>70000</v>
      </c>
      <c r="I167" s="784">
        <f t="shared" si="20"/>
        <v>70000</v>
      </c>
      <c r="J167" s="803"/>
      <c r="K167" s="784">
        <v>15578</v>
      </c>
      <c r="L167" s="784">
        <v>50000</v>
      </c>
      <c r="M167" s="825">
        <v>75000</v>
      </c>
      <c r="N167" s="825">
        <v>50000</v>
      </c>
      <c r="O167" s="825">
        <v>130000</v>
      </c>
      <c r="P167" s="825">
        <v>150000</v>
      </c>
      <c r="Q167" s="1030"/>
    </row>
    <row r="168" spans="1:17" hidden="1">
      <c r="A168" s="773">
        <v>6171</v>
      </c>
      <c r="B168" s="772">
        <v>5171</v>
      </c>
      <c r="C168" s="785" t="s">
        <v>710</v>
      </c>
      <c r="D168" s="784">
        <v>50000</v>
      </c>
      <c r="E168" s="784">
        <v>350000</v>
      </c>
      <c r="F168" s="784">
        <v>34740.69</v>
      </c>
      <c r="G168" s="784">
        <f t="shared" si="21"/>
        <v>315259.31</v>
      </c>
      <c r="H168" s="784">
        <f t="shared" si="18"/>
        <v>350000</v>
      </c>
      <c r="I168" s="784">
        <f t="shared" si="20"/>
        <v>350000</v>
      </c>
      <c r="J168" s="803"/>
      <c r="K168" s="784">
        <v>178861</v>
      </c>
      <c r="L168" s="784">
        <v>200000</v>
      </c>
      <c r="M168" s="825">
        <v>40000</v>
      </c>
      <c r="N168" s="825">
        <v>100000</v>
      </c>
      <c r="O168" s="825">
        <v>5000</v>
      </c>
      <c r="P168" s="825">
        <v>50000</v>
      </c>
      <c r="Q168" s="1030"/>
    </row>
    <row r="169" spans="1:17">
      <c r="A169" s="773">
        <v>6171</v>
      </c>
      <c r="B169" s="772">
        <v>5172</v>
      </c>
      <c r="C169" s="785" t="s">
        <v>711</v>
      </c>
      <c r="D169" s="784"/>
      <c r="E169" s="784"/>
      <c r="F169" s="784"/>
      <c r="G169" s="784"/>
      <c r="H169" s="784"/>
      <c r="I169" s="784"/>
      <c r="J169" s="803"/>
      <c r="K169" s="784"/>
      <c r="L169" s="784"/>
      <c r="M169" s="825"/>
      <c r="N169" s="825"/>
      <c r="O169" s="825">
        <v>31000</v>
      </c>
      <c r="P169" s="825">
        <v>50000</v>
      </c>
      <c r="Q169" s="1030">
        <v>150000</v>
      </c>
    </row>
    <row r="170" spans="1:17" hidden="1">
      <c r="A170" s="773">
        <v>6171</v>
      </c>
      <c r="B170" s="772">
        <v>5173</v>
      </c>
      <c r="C170" s="785" t="s">
        <v>712</v>
      </c>
      <c r="D170" s="784">
        <v>500</v>
      </c>
      <c r="E170" s="784">
        <v>500</v>
      </c>
      <c r="F170" s="784"/>
      <c r="G170" s="784">
        <f t="shared" si="21"/>
        <v>500</v>
      </c>
      <c r="H170" s="784">
        <f t="shared" si="18"/>
        <v>500</v>
      </c>
      <c r="I170" s="784">
        <f t="shared" si="20"/>
        <v>500</v>
      </c>
      <c r="J170" s="803"/>
      <c r="K170" s="784"/>
      <c r="L170" s="784">
        <v>500</v>
      </c>
      <c r="M170" s="825"/>
      <c r="N170" s="825"/>
      <c r="O170" s="825"/>
      <c r="P170" s="825">
        <v>10000</v>
      </c>
      <c r="Q170" s="1030"/>
    </row>
    <row r="171" spans="1:17" hidden="1">
      <c r="A171" s="773">
        <v>6171</v>
      </c>
      <c r="B171" s="772">
        <v>5175</v>
      </c>
      <c r="C171" s="785" t="s">
        <v>713</v>
      </c>
      <c r="D171" s="784">
        <v>10000</v>
      </c>
      <c r="E171" s="784">
        <v>10000</v>
      </c>
      <c r="F171" s="784">
        <v>15750</v>
      </c>
      <c r="G171" s="784">
        <f>20000-F171</f>
        <v>4250</v>
      </c>
      <c r="H171" s="784">
        <f t="shared" si="18"/>
        <v>20000</v>
      </c>
      <c r="I171" s="784">
        <f t="shared" si="20"/>
        <v>20000</v>
      </c>
      <c r="J171" s="803"/>
      <c r="K171" s="784">
        <v>8033</v>
      </c>
      <c r="L171" s="784">
        <v>20000</v>
      </c>
      <c r="M171" s="825">
        <v>20000</v>
      </c>
      <c r="N171" s="825">
        <v>20000</v>
      </c>
      <c r="O171" s="825">
        <v>20000</v>
      </c>
      <c r="P171" s="825">
        <v>20000</v>
      </c>
      <c r="Q171" s="1030"/>
    </row>
    <row r="172" spans="1:17" hidden="1">
      <c r="A172" s="773">
        <v>6171</v>
      </c>
      <c r="B172" s="772">
        <v>5229</v>
      </c>
      <c r="C172" s="785" t="s">
        <v>714</v>
      </c>
      <c r="D172" s="784">
        <v>150000</v>
      </c>
      <c r="E172" s="784">
        <v>150000</v>
      </c>
      <c r="F172" s="784">
        <v>10820</v>
      </c>
      <c r="G172" s="784">
        <f t="shared" si="21"/>
        <v>139180</v>
      </c>
      <c r="H172" s="784">
        <f t="shared" si="18"/>
        <v>150000</v>
      </c>
      <c r="I172" s="784">
        <f>H172</f>
        <v>150000</v>
      </c>
      <c r="J172" s="803"/>
      <c r="K172" s="784">
        <v>277586</v>
      </c>
      <c r="L172" s="784">
        <v>150000</v>
      </c>
      <c r="M172" s="825">
        <v>150000</v>
      </c>
      <c r="N172" s="825">
        <v>150000</v>
      </c>
      <c r="O172" s="825">
        <v>70000</v>
      </c>
      <c r="P172" s="825">
        <v>250000</v>
      </c>
      <c r="Q172" s="1030"/>
    </row>
    <row r="173" spans="1:17" hidden="1">
      <c r="A173" s="773">
        <v>6171</v>
      </c>
      <c r="B173" s="772">
        <v>5321</v>
      </c>
      <c r="C173" s="785" t="s">
        <v>715</v>
      </c>
      <c r="D173" s="784">
        <v>100000</v>
      </c>
      <c r="E173" s="784">
        <v>100000</v>
      </c>
      <c r="F173" s="784">
        <v>52400</v>
      </c>
      <c r="G173" s="784">
        <f t="shared" si="21"/>
        <v>47600</v>
      </c>
      <c r="H173" s="784">
        <f t="shared" si="18"/>
        <v>100000</v>
      </c>
      <c r="I173" s="784">
        <f>H173</f>
        <v>100000</v>
      </c>
      <c r="J173" s="803"/>
      <c r="K173" s="784">
        <v>100000</v>
      </c>
      <c r="L173" s="784">
        <v>100000</v>
      </c>
      <c r="M173" s="825">
        <v>100000</v>
      </c>
      <c r="N173" s="825">
        <v>200000</v>
      </c>
      <c r="O173" s="825">
        <v>200000</v>
      </c>
      <c r="P173" s="825">
        <v>200000</v>
      </c>
      <c r="Q173" s="1030"/>
    </row>
    <row r="174" spans="1:17" hidden="1">
      <c r="A174" s="773">
        <v>6171</v>
      </c>
      <c r="B174" s="772">
        <v>5329</v>
      </c>
      <c r="C174" s="785" t="s">
        <v>716</v>
      </c>
      <c r="D174" s="784"/>
      <c r="E174" s="784">
        <v>33200</v>
      </c>
      <c r="F174" s="784">
        <v>33200</v>
      </c>
      <c r="G174" s="784">
        <f t="shared" si="21"/>
        <v>0</v>
      </c>
      <c r="H174" s="784">
        <f t="shared" si="18"/>
        <v>33200</v>
      </c>
      <c r="I174" s="784">
        <f>H174</f>
        <v>33200</v>
      </c>
      <c r="J174" s="803"/>
      <c r="K174" s="784">
        <v>35020</v>
      </c>
      <c r="L174" s="784">
        <v>35500</v>
      </c>
      <c r="M174" s="825">
        <v>36000</v>
      </c>
      <c r="N174" s="825">
        <v>37000</v>
      </c>
      <c r="O174" s="825"/>
      <c r="P174" s="825">
        <v>500000</v>
      </c>
      <c r="Q174" s="1030"/>
    </row>
    <row r="175" spans="1:17">
      <c r="A175" s="773">
        <v>6171</v>
      </c>
      <c r="B175" s="772">
        <v>5364</v>
      </c>
      <c r="C175" s="785" t="s">
        <v>717</v>
      </c>
      <c r="D175" s="784">
        <v>30000</v>
      </c>
      <c r="E175" s="784">
        <v>30000</v>
      </c>
      <c r="F175" s="784"/>
      <c r="G175" s="784">
        <f t="shared" si="21"/>
        <v>30000</v>
      </c>
      <c r="H175" s="784">
        <f t="shared" si="18"/>
        <v>30000</v>
      </c>
      <c r="I175" s="784">
        <f>H175</f>
        <v>30000</v>
      </c>
      <c r="J175" s="809">
        <v>-30000</v>
      </c>
      <c r="K175" s="784"/>
      <c r="L175" s="784"/>
      <c r="M175" s="825"/>
      <c r="N175" s="825"/>
      <c r="O175" s="825">
        <v>112200</v>
      </c>
      <c r="P175" s="825"/>
      <c r="Q175" s="1030">
        <v>90687.47</v>
      </c>
    </row>
    <row r="176" spans="1:17" hidden="1">
      <c r="A176" s="773">
        <v>6171</v>
      </c>
      <c r="B176" s="772">
        <v>5492</v>
      </c>
      <c r="C176" s="785" t="s">
        <v>718</v>
      </c>
      <c r="D176" s="784"/>
      <c r="E176" s="784"/>
      <c r="F176" s="784"/>
      <c r="G176" s="784"/>
      <c r="H176" s="784"/>
      <c r="I176" s="784"/>
      <c r="J176" s="809"/>
      <c r="K176" s="784"/>
      <c r="L176" s="784"/>
      <c r="M176" s="825"/>
      <c r="N176" s="825"/>
      <c r="O176" s="825">
        <v>39000</v>
      </c>
      <c r="P176" s="825">
        <v>100000</v>
      </c>
      <c r="Q176" s="1030"/>
    </row>
    <row r="177" spans="1:17">
      <c r="A177" s="836">
        <v>6171</v>
      </c>
      <c r="B177" s="837">
        <v>6121</v>
      </c>
      <c r="C177" s="838" t="s">
        <v>719</v>
      </c>
      <c r="D177" s="839">
        <v>1000000</v>
      </c>
      <c r="E177" s="839">
        <v>200000</v>
      </c>
      <c r="F177" s="839"/>
      <c r="G177" s="839" t="e">
        <f>#REF!</f>
        <v>#REF!</v>
      </c>
      <c r="H177" s="839" t="e">
        <f t="shared" si="18"/>
        <v>#REF!</v>
      </c>
      <c r="I177" s="839" t="e">
        <f>#REF!</f>
        <v>#REF!</v>
      </c>
      <c r="J177" s="839">
        <v>1200000</v>
      </c>
      <c r="K177" s="839"/>
      <c r="L177" s="839"/>
      <c r="M177" s="842"/>
      <c r="N177" s="842"/>
      <c r="O177" s="842"/>
      <c r="P177" s="842">
        <v>3500000</v>
      </c>
      <c r="Q177" s="1030">
        <v>20000000</v>
      </c>
    </row>
    <row r="178" spans="1:17" hidden="1">
      <c r="A178" s="836">
        <v>6171</v>
      </c>
      <c r="B178" s="837">
        <v>6122</v>
      </c>
      <c r="C178" s="838" t="s">
        <v>721</v>
      </c>
      <c r="D178" s="839"/>
      <c r="E178" s="839"/>
      <c r="F178" s="839"/>
      <c r="G178" s="839"/>
      <c r="H178" s="839"/>
      <c r="I178" s="839"/>
      <c r="J178" s="839"/>
      <c r="K178" s="839"/>
      <c r="L178" s="839"/>
      <c r="M178" s="842"/>
      <c r="N178" s="842"/>
      <c r="O178" s="842">
        <v>300000</v>
      </c>
      <c r="P178" s="842"/>
      <c r="Q178" s="1030"/>
    </row>
    <row r="179" spans="1:17" hidden="1">
      <c r="A179" s="773">
        <v>6310</v>
      </c>
      <c r="B179" s="772">
        <v>5141</v>
      </c>
      <c r="C179" s="785" t="s">
        <v>722</v>
      </c>
      <c r="D179" s="784">
        <v>200000</v>
      </c>
      <c r="E179" s="784">
        <v>200000</v>
      </c>
      <c r="F179" s="784">
        <v>99018.94</v>
      </c>
      <c r="G179" s="784">
        <f>4*11000</f>
        <v>44000</v>
      </c>
      <c r="H179" s="784">
        <f t="shared" si="18"/>
        <v>143018.94</v>
      </c>
      <c r="I179" s="784">
        <f>12*10500</f>
        <v>126000</v>
      </c>
      <c r="J179" s="803"/>
      <c r="K179" s="784">
        <v>103446</v>
      </c>
      <c r="L179" s="784">
        <v>126000</v>
      </c>
      <c r="M179" s="825">
        <v>110000</v>
      </c>
      <c r="N179" s="825">
        <v>110000</v>
      </c>
      <c r="O179" s="825">
        <v>60000</v>
      </c>
      <c r="P179" s="825">
        <v>70000</v>
      </c>
      <c r="Q179" s="1030"/>
    </row>
    <row r="180" spans="1:17" hidden="1">
      <c r="A180" s="773">
        <v>6310</v>
      </c>
      <c r="B180" s="772">
        <v>5163</v>
      </c>
      <c r="C180" s="785" t="s">
        <v>723</v>
      </c>
      <c r="D180" s="784">
        <v>20000</v>
      </c>
      <c r="E180" s="784">
        <v>20000</v>
      </c>
      <c r="F180" s="784">
        <v>10436.4</v>
      </c>
      <c r="G180" s="784">
        <f t="shared" si="21"/>
        <v>9563.6</v>
      </c>
      <c r="H180" s="784">
        <f t="shared" si="18"/>
        <v>20000</v>
      </c>
      <c r="I180" s="784">
        <f>H180</f>
        <v>20000</v>
      </c>
      <c r="J180" s="803"/>
      <c r="K180" s="784">
        <v>5410</v>
      </c>
      <c r="L180" s="784">
        <v>15000</v>
      </c>
      <c r="M180" s="825">
        <v>10000</v>
      </c>
      <c r="N180" s="825">
        <v>10000</v>
      </c>
      <c r="O180" s="825">
        <v>10000</v>
      </c>
      <c r="P180" s="825">
        <v>10000</v>
      </c>
      <c r="Q180" s="1030"/>
    </row>
    <row r="181" spans="1:17" hidden="1">
      <c r="A181" s="773">
        <v>6310</v>
      </c>
      <c r="B181" s="772">
        <v>5362</v>
      </c>
      <c r="C181" s="785" t="s">
        <v>724</v>
      </c>
      <c r="D181" s="784">
        <v>600000</v>
      </c>
      <c r="E181" s="784">
        <v>600000</v>
      </c>
      <c r="F181" s="784">
        <v>202083</v>
      </c>
      <c r="G181" s="784">
        <f t="shared" si="21"/>
        <v>397917</v>
      </c>
      <c r="H181" s="784">
        <f t="shared" si="18"/>
        <v>600000</v>
      </c>
      <c r="I181" s="784">
        <f>H181</f>
        <v>600000</v>
      </c>
      <c r="J181" s="803"/>
      <c r="K181" s="784">
        <v>85109</v>
      </c>
      <c r="L181" s="784">
        <v>300000</v>
      </c>
      <c r="M181" s="825">
        <v>270000</v>
      </c>
      <c r="N181" s="825">
        <v>270000</v>
      </c>
      <c r="O181" s="825">
        <v>120000</v>
      </c>
      <c r="P181" s="825">
        <v>200000</v>
      </c>
      <c r="Q181" s="1030"/>
    </row>
    <row r="182" spans="1:17" hidden="1">
      <c r="A182" s="773">
        <v>6399</v>
      </c>
      <c r="B182" s="772">
        <v>5362</v>
      </c>
      <c r="C182" s="785" t="s">
        <v>725</v>
      </c>
      <c r="D182" s="784">
        <v>200000</v>
      </c>
      <c r="E182" s="784">
        <v>200000</v>
      </c>
      <c r="F182" s="784"/>
      <c r="G182" s="784">
        <f t="shared" si="21"/>
        <v>200000</v>
      </c>
      <c r="H182" s="784">
        <f t="shared" si="18"/>
        <v>200000</v>
      </c>
      <c r="I182" s="784">
        <f>H182</f>
        <v>200000</v>
      </c>
      <c r="J182" s="809">
        <v>-200000</v>
      </c>
      <c r="K182" s="784"/>
      <c r="L182" s="784">
        <v>200000</v>
      </c>
      <c r="M182" s="825">
        <v>620007</v>
      </c>
      <c r="N182" s="825">
        <v>600000</v>
      </c>
      <c r="O182" s="825">
        <v>87000</v>
      </c>
      <c r="P182" s="825">
        <v>100000</v>
      </c>
      <c r="Q182" s="1030"/>
    </row>
    <row r="183" spans="1:17" ht="14" thickBot="1">
      <c r="A183" s="1095" t="s">
        <v>726</v>
      </c>
      <c r="B183" s="1096"/>
      <c r="C183" s="1096"/>
      <c r="D183" s="782">
        <f t="shared" ref="D183:N183" si="22">SUM(D67:D182)</f>
        <v>43881900</v>
      </c>
      <c r="E183" s="782">
        <f t="shared" si="22"/>
        <v>46585900</v>
      </c>
      <c r="F183" s="782">
        <f t="shared" si="22"/>
        <v>33123496.800000001</v>
      </c>
      <c r="G183" s="782" t="e">
        <f t="shared" si="22"/>
        <v>#REF!</v>
      </c>
      <c r="H183" s="782" t="e">
        <f t="shared" si="22"/>
        <v>#REF!</v>
      </c>
      <c r="I183" s="782" t="e">
        <f t="shared" si="22"/>
        <v>#REF!</v>
      </c>
      <c r="J183" s="864">
        <f t="shared" si="22"/>
        <v>-238851</v>
      </c>
      <c r="K183" s="782">
        <f t="shared" si="22"/>
        <v>14623430</v>
      </c>
      <c r="L183" s="782" t="e">
        <f t="shared" si="22"/>
        <v>#REF!</v>
      </c>
      <c r="M183" s="865">
        <f t="shared" si="22"/>
        <v>19701107</v>
      </c>
      <c r="N183" s="865">
        <f t="shared" si="22"/>
        <v>35689100</v>
      </c>
      <c r="O183" s="858">
        <f>SUM(O66:O182)</f>
        <v>32750895</v>
      </c>
      <c r="P183" s="858">
        <f>SUM(P66:P182)</f>
        <v>101033000</v>
      </c>
      <c r="Q183" s="1031">
        <f>SUM(Q66:Q182)</f>
        <v>35382687.469999999</v>
      </c>
    </row>
    <row r="184" spans="1:17" ht="14" hidden="1" thickBot="1">
      <c r="A184" s="952"/>
      <c r="B184" s="952"/>
      <c r="C184" s="788"/>
      <c r="D184" s="787"/>
      <c r="E184" s="787"/>
      <c r="F184" s="787"/>
      <c r="G184" s="953"/>
      <c r="H184" s="954"/>
      <c r="I184" s="954"/>
      <c r="J184" s="795"/>
      <c r="K184" s="954"/>
      <c r="L184" s="954"/>
      <c r="M184" s="826"/>
      <c r="N184" s="826"/>
      <c r="O184" s="826"/>
      <c r="P184" s="826"/>
    </row>
    <row r="185" spans="1:17" hidden="1">
      <c r="A185" s="1093" t="s">
        <v>727</v>
      </c>
      <c r="B185" s="1094"/>
      <c r="C185" s="1094"/>
      <c r="D185" s="797" t="e">
        <f t="shared" ref="D185:I185" si="23">D183-D186</f>
        <v>#REF!</v>
      </c>
      <c r="E185" s="797" t="e">
        <f t="shared" si="23"/>
        <v>#REF!</v>
      </c>
      <c r="F185" s="797" t="e">
        <f t="shared" si="23"/>
        <v>#REF!</v>
      </c>
      <c r="G185" s="797" t="e">
        <f t="shared" si="23"/>
        <v>#REF!</v>
      </c>
      <c r="H185" s="797" t="e">
        <f t="shared" si="23"/>
        <v>#REF!</v>
      </c>
      <c r="I185" s="804" t="e">
        <f t="shared" si="23"/>
        <v>#REF!</v>
      </c>
      <c r="J185" s="817"/>
      <c r="K185" s="804" t="e">
        <f t="shared" ref="K185:P185" si="24">K183-K186</f>
        <v>#REF!</v>
      </c>
      <c r="L185" s="804" t="e">
        <f t="shared" si="24"/>
        <v>#REF!</v>
      </c>
      <c r="M185" s="829" t="e">
        <f t="shared" si="24"/>
        <v>#REF!</v>
      </c>
      <c r="N185" s="833">
        <f>N183-N186</f>
        <v>18629100</v>
      </c>
      <c r="O185" s="880">
        <f t="shared" si="24"/>
        <v>25135895</v>
      </c>
      <c r="P185" s="881">
        <f t="shared" si="24"/>
        <v>38553000</v>
      </c>
    </row>
    <row r="186" spans="1:17" hidden="1">
      <c r="A186" s="1097" t="s">
        <v>728</v>
      </c>
      <c r="B186" s="1098"/>
      <c r="C186" s="1098"/>
      <c r="D186" s="792" t="e">
        <f>#REF!+D74+D90+D99+#REF!+D102+D111+D116+#REF!+D133+D134+#REF!+D144+#REF!+D177</f>
        <v>#REF!</v>
      </c>
      <c r="E186" s="792" t="e">
        <f>#REF!+E74+E90+E99+#REF!+E102+E111+E116+#REF!+E133+E134+#REF!+E144+#REF!+E177</f>
        <v>#REF!</v>
      </c>
      <c r="F186" s="792" t="e">
        <f>#REF!+F74+F90+F99+#REF!+F102+F111+F116+#REF!+F133+F134+#REF!+F144+#REF!+F177</f>
        <v>#REF!</v>
      </c>
      <c r="G186" s="792" t="e">
        <f>#REF!+G74+G90+G99+#REF!+G102+G111+G116+#REF!+G133+G134+#REF!+G144+#REF!+G177</f>
        <v>#REF!</v>
      </c>
      <c r="H186" s="792" t="e">
        <f>#REF!+H74+H90+H99+#REF!+H102+H111+H116+#REF!+H133+H134+#REF!+H144+#REF!+H177</f>
        <v>#REF!</v>
      </c>
      <c r="I186" s="805" t="e">
        <f>#REF!+I74+I90+I99+#REF!+I102+I111+I116+#REF!+I133+I134+#REF!+I144+I177+I120+I122</f>
        <v>#REF!</v>
      </c>
      <c r="J186" s="810"/>
      <c r="K186" s="805" t="e">
        <f>#REF!+K74+K90+K99+#REF!+K102+K111+K116+#REF!+K133+K134+#REF!+K144+K177+K122+K88</f>
        <v>#REF!</v>
      </c>
      <c r="L186" s="805" t="e">
        <f>#REF!+L74+L90+#REF!+L99+L102+L111+L116+L133+L134+#REF!+L177+L144+L122+#REF!+L120</f>
        <v>#REF!</v>
      </c>
      <c r="M186" s="832" t="e">
        <f>#REF!+M74+M88+M90+#REF!+M99+#REF!+M101+M102+M110+M111+M116+M120+#REF!+M122+M133+M134+#REF!+M144+M177</f>
        <v>#REF!</v>
      </c>
      <c r="N186" s="834">
        <f>N74+N88+N90+N99+N101+N102+N110+N111+N116+N120+N122+N133+N134+N144+N177</f>
        <v>17060000</v>
      </c>
      <c r="O186" s="828">
        <f>O74+O88+O90+O99+O101+O102+O110+O111+O113+O116+O119+O120+O122+O133+O134+O144+O177+O178</f>
        <v>7615000</v>
      </c>
      <c r="P186" s="994">
        <f>P74+P88+P90+P99+P102+P110+P111+P113+P116+P119+P120+P122+P133+P134+P144+P177+P178</f>
        <v>62480000</v>
      </c>
    </row>
    <row r="187" spans="1:17" ht="14" hidden="1" thickBot="1">
      <c r="A187" s="1095" t="s">
        <v>726</v>
      </c>
      <c r="B187" s="1096"/>
      <c r="C187" s="1096"/>
      <c r="D187" s="782">
        <f t="shared" ref="D187:I187" si="25">D183</f>
        <v>43881900</v>
      </c>
      <c r="E187" s="782">
        <f t="shared" si="25"/>
        <v>46585900</v>
      </c>
      <c r="F187" s="782">
        <f t="shared" si="25"/>
        <v>33123496.800000001</v>
      </c>
      <c r="G187" s="782" t="e">
        <f t="shared" si="25"/>
        <v>#REF!</v>
      </c>
      <c r="H187" s="782" t="e">
        <f t="shared" si="25"/>
        <v>#REF!</v>
      </c>
      <c r="I187" s="801" t="e">
        <f t="shared" si="25"/>
        <v>#REF!</v>
      </c>
      <c r="J187" s="819"/>
      <c r="K187" s="801">
        <f>K183</f>
        <v>14623430</v>
      </c>
      <c r="L187" s="801" t="e">
        <f>L183</f>
        <v>#REF!</v>
      </c>
      <c r="M187" s="830" t="e">
        <f>SUM(M185:M186)</f>
        <v>#REF!</v>
      </c>
      <c r="N187" s="835">
        <f>SUM(N185:N186)</f>
        <v>35689100</v>
      </c>
      <c r="O187" s="858">
        <f>SUM(O185:O186)</f>
        <v>32750895</v>
      </c>
      <c r="P187" s="859">
        <f>SUM(P185:P186)</f>
        <v>101033000</v>
      </c>
    </row>
    <row r="188" spans="1:17" ht="14" hidden="1" thickBot="1">
      <c r="A188" s="952"/>
      <c r="B188" s="952"/>
      <c r="C188" s="788"/>
      <c r="D188" s="787"/>
      <c r="E188" s="787"/>
      <c r="F188" s="787"/>
      <c r="G188" s="953"/>
      <c r="H188" s="954"/>
      <c r="I188" s="954"/>
      <c r="J188" s="795"/>
      <c r="K188" s="954"/>
      <c r="L188" s="954"/>
      <c r="M188" s="826"/>
      <c r="N188" s="831"/>
      <c r="O188" s="826"/>
      <c r="P188" s="826"/>
    </row>
    <row r="189" spans="1:17">
      <c r="A189" s="1093" t="s">
        <v>729</v>
      </c>
      <c r="B189" s="1094"/>
      <c r="C189" s="1094"/>
      <c r="D189" s="798"/>
      <c r="E189" s="798"/>
      <c r="F189" s="798"/>
      <c r="G189" s="798"/>
      <c r="H189" s="798"/>
      <c r="I189" s="806"/>
      <c r="J189" s="817"/>
      <c r="K189" s="806"/>
      <c r="L189" s="806"/>
      <c r="M189" s="880"/>
      <c r="N189" s="880"/>
      <c r="O189" s="880"/>
      <c r="P189" s="1052"/>
      <c r="Q189" s="1044"/>
    </row>
    <row r="190" spans="1:17">
      <c r="A190" s="773">
        <v>8124</v>
      </c>
      <c r="B190" s="772">
        <v>8124</v>
      </c>
      <c r="C190" s="785" t="s">
        <v>730</v>
      </c>
      <c r="D190" s="784">
        <f>2800000-800000</f>
        <v>2000000</v>
      </c>
      <c r="E190" s="784">
        <v>2000000</v>
      </c>
      <c r="F190" s="784">
        <v>1361446</v>
      </c>
      <c r="G190" s="784">
        <f>4*125000</f>
        <v>500000</v>
      </c>
      <c r="H190" s="784">
        <f>G190+F190</f>
        <v>1861446</v>
      </c>
      <c r="I190" s="802">
        <f>12*125000</f>
        <v>1500000</v>
      </c>
      <c r="J190" s="810"/>
      <c r="K190" s="802">
        <f>12*125000</f>
        <v>1500000</v>
      </c>
      <c r="L190" s="802">
        <f>12*125000</f>
        <v>1500000</v>
      </c>
      <c r="M190" s="825">
        <v>1500000</v>
      </c>
      <c r="N190" s="825">
        <v>1500000</v>
      </c>
      <c r="O190" s="825">
        <v>1500000</v>
      </c>
      <c r="P190" s="1006">
        <v>1500000</v>
      </c>
      <c r="Q190" s="1035"/>
    </row>
    <row r="191" spans="1:17" ht="14" thickBot="1">
      <c r="A191" s="1095" t="s">
        <v>731</v>
      </c>
      <c r="B191" s="1096"/>
      <c r="C191" s="1096"/>
      <c r="D191" s="782" t="e">
        <f>#REF!-D189+D190</f>
        <v>#REF!</v>
      </c>
      <c r="E191" s="782" t="e">
        <f>#REF!-E189+E190</f>
        <v>#REF!</v>
      </c>
      <c r="F191" s="782" t="e">
        <f>#REF!-F189+F190</f>
        <v>#REF!</v>
      </c>
      <c r="G191" s="782" t="e">
        <f>#REF!-G189+G190</f>
        <v>#REF!</v>
      </c>
      <c r="H191" s="782" t="e">
        <f>#REF!-H189+H190</f>
        <v>#REF!</v>
      </c>
      <c r="I191" s="801" t="e">
        <f>#REF!-I189+I190</f>
        <v>#REF!</v>
      </c>
      <c r="J191" s="819"/>
      <c r="K191" s="801" t="e">
        <f>#REF!-K189+K190</f>
        <v>#REF!</v>
      </c>
      <c r="L191" s="801" t="e">
        <f>#REF!-L189+L190</f>
        <v>#REF!</v>
      </c>
      <c r="M191" s="865">
        <f>M183+M190</f>
        <v>21201107</v>
      </c>
      <c r="N191" s="865">
        <f>N183+N190</f>
        <v>37189100</v>
      </c>
      <c r="O191" s="858">
        <f>O187+O190</f>
        <v>34250895</v>
      </c>
      <c r="P191" s="835">
        <f>P187+P190</f>
        <v>102533000</v>
      </c>
      <c r="Q191" s="1053">
        <f>Q183</f>
        <v>35382687.469999999</v>
      </c>
    </row>
    <row r="192" spans="1:17">
      <c r="C192" s="600"/>
    </row>
  </sheetData>
  <mergeCells count="11">
    <mergeCell ref="A183:C183"/>
    <mergeCell ref="A23:C23"/>
    <mergeCell ref="A41:C41"/>
    <mergeCell ref="A42:C42"/>
    <mergeCell ref="A43:C43"/>
    <mergeCell ref="A47:C47"/>
    <mergeCell ref="A185:C185"/>
    <mergeCell ref="A186:C186"/>
    <mergeCell ref="A187:C187"/>
    <mergeCell ref="A189:C189"/>
    <mergeCell ref="A191:C191"/>
  </mergeCells>
  <pageMargins left="0.7" right="0.7" top="0.78740157499999996" bottom="0.78740157499999996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EE718-2659-4047-A9EB-CB30CBDE2929}">
  <dimension ref="A1:S191"/>
  <sheetViews>
    <sheetView workbookViewId="0">
      <selection sqref="A1:S191"/>
    </sheetView>
  </sheetViews>
  <sheetFormatPr baseColWidth="10" defaultColWidth="8.83203125" defaultRowHeight="13"/>
  <cols>
    <col min="3" max="3" width="26" customWidth="1"/>
    <col min="4" max="15" width="9.1640625" hidden="1" customWidth="1"/>
    <col min="16" max="16" width="16.33203125" customWidth="1"/>
    <col min="17" max="17" width="16.83203125" hidden="1" customWidth="1"/>
    <col min="18" max="18" width="15.6640625" style="150" customWidth="1"/>
    <col min="19" max="19" width="15.1640625" style="150" customWidth="1"/>
    <col min="22" max="22" width="20.1640625" customWidth="1"/>
  </cols>
  <sheetData>
    <row r="1" spans="1:19" ht="17" thickBot="1">
      <c r="A1" s="808" t="s">
        <v>1233</v>
      </c>
      <c r="B1" s="770"/>
      <c r="C1" s="780"/>
      <c r="D1" s="780"/>
      <c r="E1" s="780"/>
      <c r="F1" s="780"/>
      <c r="G1" s="780"/>
      <c r="H1" s="780"/>
      <c r="I1" s="780"/>
      <c r="J1" s="781"/>
      <c r="K1" s="780"/>
      <c r="L1" s="780"/>
      <c r="O1" s="826"/>
      <c r="P1" s="826"/>
      <c r="Q1" s="150"/>
    </row>
    <row r="2" spans="1:19" ht="37" thickBot="1">
      <c r="A2" s="796" t="s">
        <v>532</v>
      </c>
      <c r="B2" s="775" t="s">
        <v>376</v>
      </c>
      <c r="C2" s="774" t="s">
        <v>533</v>
      </c>
      <c r="D2" s="776" t="s">
        <v>534</v>
      </c>
      <c r="E2" s="776" t="s">
        <v>535</v>
      </c>
      <c r="F2" s="776" t="s">
        <v>536</v>
      </c>
      <c r="G2" s="776" t="s">
        <v>537</v>
      </c>
      <c r="H2" s="776" t="s">
        <v>538</v>
      </c>
      <c r="I2" s="800" t="s">
        <v>539</v>
      </c>
      <c r="J2" s="816" t="s">
        <v>540</v>
      </c>
      <c r="K2" s="800" t="s">
        <v>541</v>
      </c>
      <c r="L2" s="800">
        <v>2022</v>
      </c>
      <c r="M2" s="861" t="s">
        <v>542</v>
      </c>
      <c r="N2" s="861" t="s">
        <v>543</v>
      </c>
      <c r="O2" s="886" t="s">
        <v>544</v>
      </c>
      <c r="P2" s="1005" t="s">
        <v>1229</v>
      </c>
      <c r="Q2" s="1032" t="s">
        <v>1227</v>
      </c>
      <c r="R2" s="1055" t="s">
        <v>1240</v>
      </c>
      <c r="S2" s="1043" t="s">
        <v>1232</v>
      </c>
    </row>
    <row r="3" spans="1:19" hidden="1">
      <c r="A3" s="942"/>
      <c r="B3" s="943">
        <v>1111</v>
      </c>
      <c r="C3" s="790" t="s">
        <v>546</v>
      </c>
      <c r="D3" s="944">
        <v>4000000</v>
      </c>
      <c r="E3" s="944">
        <v>4000000</v>
      </c>
      <c r="F3" s="944">
        <v>2830187.77</v>
      </c>
      <c r="G3" s="944">
        <f>E3-F3+1184607</f>
        <v>2354419.23</v>
      </c>
      <c r="H3" s="944">
        <f>G3+F3</f>
        <v>5184607</v>
      </c>
      <c r="I3" s="945">
        <f>H3-2348647</f>
        <v>2835960</v>
      </c>
      <c r="J3" s="803"/>
      <c r="K3" s="945">
        <v>2776178</v>
      </c>
      <c r="L3" s="945">
        <v>2850000</v>
      </c>
      <c r="M3" s="825">
        <v>3400000</v>
      </c>
      <c r="N3" s="825">
        <v>3500000</v>
      </c>
      <c r="O3" s="825">
        <v>4443000</v>
      </c>
      <c r="P3" s="1006">
        <v>5000000</v>
      </c>
      <c r="Q3" s="1033"/>
      <c r="R3" s="1035">
        <f t="shared" ref="R3:R15" si="0">SUM(P3:Q3)</f>
        <v>5000000</v>
      </c>
      <c r="S3" s="1035"/>
    </row>
    <row r="4" spans="1:19" hidden="1">
      <c r="A4" s="773"/>
      <c r="B4" s="772">
        <v>1112</v>
      </c>
      <c r="C4" s="785" t="s">
        <v>548</v>
      </c>
      <c r="D4" s="784">
        <v>100000</v>
      </c>
      <c r="E4" s="784">
        <v>100000</v>
      </c>
      <c r="F4" s="784">
        <v>33015.269999999997</v>
      </c>
      <c r="G4" s="784">
        <v>44769</v>
      </c>
      <c r="H4" s="784">
        <f t="shared" ref="H4:H22" si="1">G4+F4</f>
        <v>77784.26999999999</v>
      </c>
      <c r="I4" s="802">
        <f t="shared" ref="I4:I22" si="2">H4</f>
        <v>77784.26999999999</v>
      </c>
      <c r="J4" s="803"/>
      <c r="K4" s="802">
        <v>141012</v>
      </c>
      <c r="L4" s="802">
        <v>150000</v>
      </c>
      <c r="M4" s="825">
        <v>300000</v>
      </c>
      <c r="N4" s="825">
        <v>400000</v>
      </c>
      <c r="O4" s="825">
        <v>330000</v>
      </c>
      <c r="P4" s="1006">
        <v>350000</v>
      </c>
      <c r="Q4" s="1033"/>
      <c r="R4" s="1035">
        <f t="shared" si="0"/>
        <v>350000</v>
      </c>
      <c r="S4" s="1035"/>
    </row>
    <row r="5" spans="1:19" hidden="1">
      <c r="A5" s="773"/>
      <c r="B5" s="772">
        <v>1113</v>
      </c>
      <c r="C5" s="785" t="s">
        <v>550</v>
      </c>
      <c r="D5" s="784">
        <v>390000</v>
      </c>
      <c r="E5" s="784">
        <v>390000</v>
      </c>
      <c r="F5" s="784">
        <v>262113.18</v>
      </c>
      <c r="G5" s="784">
        <f>E5-F5+96150</f>
        <v>224036.82</v>
      </c>
      <c r="H5" s="784">
        <f t="shared" si="1"/>
        <v>486150</v>
      </c>
      <c r="I5" s="802">
        <f t="shared" si="2"/>
        <v>486150</v>
      </c>
      <c r="J5" s="803"/>
      <c r="K5" s="802">
        <v>502179</v>
      </c>
      <c r="L5" s="802">
        <v>530000</v>
      </c>
      <c r="M5" s="825">
        <v>750000</v>
      </c>
      <c r="N5" s="825">
        <v>800000</v>
      </c>
      <c r="O5" s="825">
        <v>1100000</v>
      </c>
      <c r="P5" s="1006">
        <v>1100000</v>
      </c>
      <c r="Q5" s="1033"/>
      <c r="R5" s="1035">
        <f t="shared" si="0"/>
        <v>1100000</v>
      </c>
      <c r="S5" s="1035"/>
    </row>
    <row r="6" spans="1:19" hidden="1">
      <c r="A6" s="773"/>
      <c r="B6" s="772">
        <v>1121</v>
      </c>
      <c r="C6" s="785" t="s">
        <v>552</v>
      </c>
      <c r="D6" s="784">
        <v>3600000</v>
      </c>
      <c r="E6" s="784">
        <v>3600000</v>
      </c>
      <c r="F6" s="784">
        <v>1915530.56</v>
      </c>
      <c r="G6" s="784">
        <f>E6-F6-600000+33576</f>
        <v>1118045.44</v>
      </c>
      <c r="H6" s="784">
        <f t="shared" si="1"/>
        <v>3033576</v>
      </c>
      <c r="I6" s="802">
        <f t="shared" si="2"/>
        <v>3033576</v>
      </c>
      <c r="J6" s="803"/>
      <c r="K6" s="802">
        <v>4519174</v>
      </c>
      <c r="L6" s="802">
        <v>4600000</v>
      </c>
      <c r="M6" s="825">
        <v>5800000</v>
      </c>
      <c r="N6" s="825">
        <v>5800000</v>
      </c>
      <c r="O6" s="825">
        <v>7600000</v>
      </c>
      <c r="P6" s="1006">
        <v>8000000</v>
      </c>
      <c r="Q6" s="1033"/>
      <c r="R6" s="1035">
        <f t="shared" si="0"/>
        <v>8000000</v>
      </c>
      <c r="S6" s="1035"/>
    </row>
    <row r="7" spans="1:19">
      <c r="A7" s="773"/>
      <c r="B7" s="772">
        <v>1122</v>
      </c>
      <c r="C7" s="785" t="s">
        <v>553</v>
      </c>
      <c r="D7" s="784"/>
      <c r="E7" s="784"/>
      <c r="F7" s="784"/>
      <c r="G7" s="784"/>
      <c r="H7" s="784"/>
      <c r="I7" s="802"/>
      <c r="J7" s="803"/>
      <c r="K7" s="802"/>
      <c r="L7" s="802">
        <v>200000</v>
      </c>
      <c r="M7" s="825">
        <v>620007</v>
      </c>
      <c r="N7" s="825">
        <v>600000</v>
      </c>
      <c r="O7" s="825">
        <v>87000</v>
      </c>
      <c r="P7" s="1006">
        <v>100000</v>
      </c>
      <c r="Q7" s="1033"/>
      <c r="R7" s="1035">
        <f t="shared" si="0"/>
        <v>100000</v>
      </c>
      <c r="S7" s="1035">
        <v>108000</v>
      </c>
    </row>
    <row r="8" spans="1:19" hidden="1">
      <c r="A8" s="773"/>
      <c r="B8" s="772">
        <v>1211</v>
      </c>
      <c r="C8" s="785" t="s">
        <v>554</v>
      </c>
      <c r="D8" s="784">
        <v>7700000</v>
      </c>
      <c r="E8" s="784">
        <v>7700000</v>
      </c>
      <c r="F8" s="784">
        <v>6046376.75</v>
      </c>
      <c r="G8" s="784">
        <f>E8-F8+2400000+60535</f>
        <v>4114158.25</v>
      </c>
      <c r="H8" s="784">
        <f t="shared" si="1"/>
        <v>10160535</v>
      </c>
      <c r="I8" s="802">
        <f t="shared" si="2"/>
        <v>10160535</v>
      </c>
      <c r="J8" s="803"/>
      <c r="K8" s="802">
        <v>8931306</v>
      </c>
      <c r="L8" s="802">
        <v>9500000</v>
      </c>
      <c r="M8" s="825">
        <v>13000000</v>
      </c>
      <c r="N8" s="825">
        <v>13500000</v>
      </c>
      <c r="O8" s="825">
        <v>15700000</v>
      </c>
      <c r="P8" s="1006">
        <v>16500000</v>
      </c>
      <c r="Q8" s="1033"/>
      <c r="R8" s="1035">
        <f t="shared" si="0"/>
        <v>16500000</v>
      </c>
      <c r="S8" s="1035"/>
    </row>
    <row r="9" spans="1:19">
      <c r="A9" s="773"/>
      <c r="B9" s="772">
        <v>1334</v>
      </c>
      <c r="C9" s="785" t="s">
        <v>555</v>
      </c>
      <c r="D9" s="784"/>
      <c r="E9" s="784">
        <v>4000</v>
      </c>
      <c r="F9" s="784">
        <v>3689.68</v>
      </c>
      <c r="G9" s="784">
        <f t="shared" ref="G9:G22" si="3">E9-F9</f>
        <v>310.32000000000016</v>
      </c>
      <c r="H9" s="784">
        <f t="shared" si="1"/>
        <v>4000</v>
      </c>
      <c r="I9" s="802">
        <f t="shared" si="2"/>
        <v>4000</v>
      </c>
      <c r="J9" s="803"/>
      <c r="K9" s="802">
        <v>2013</v>
      </c>
      <c r="L9" s="802">
        <v>4000</v>
      </c>
      <c r="M9" s="825">
        <v>29000</v>
      </c>
      <c r="N9" s="825">
        <v>20000</v>
      </c>
      <c r="O9" s="825">
        <v>2000</v>
      </c>
      <c r="P9" s="1006">
        <v>2000</v>
      </c>
      <c r="Q9" s="1033"/>
      <c r="R9" s="1035">
        <f t="shared" si="0"/>
        <v>2000</v>
      </c>
      <c r="S9" s="1035">
        <v>3000</v>
      </c>
    </row>
    <row r="10" spans="1:19" hidden="1">
      <c r="A10" s="773"/>
      <c r="B10" s="772">
        <v>1341</v>
      </c>
      <c r="C10" s="785" t="s">
        <v>556</v>
      </c>
      <c r="D10" s="784">
        <v>78000</v>
      </c>
      <c r="E10" s="784">
        <v>78000</v>
      </c>
      <c r="F10" s="784">
        <v>72700</v>
      </c>
      <c r="G10" s="784">
        <f t="shared" si="3"/>
        <v>5300</v>
      </c>
      <c r="H10" s="784">
        <f t="shared" si="1"/>
        <v>78000</v>
      </c>
      <c r="I10" s="802">
        <f t="shared" si="2"/>
        <v>78000</v>
      </c>
      <c r="J10" s="803">
        <v>4000</v>
      </c>
      <c r="K10" s="802">
        <v>85050</v>
      </c>
      <c r="L10" s="802">
        <v>86000</v>
      </c>
      <c r="M10" s="825">
        <v>91000</v>
      </c>
      <c r="N10" s="825">
        <v>91000</v>
      </c>
      <c r="O10" s="825">
        <v>85000</v>
      </c>
      <c r="P10" s="1006">
        <v>85000</v>
      </c>
      <c r="Q10" s="1033"/>
      <c r="R10" s="1035">
        <f t="shared" si="0"/>
        <v>85000</v>
      </c>
      <c r="S10" s="1035"/>
    </row>
    <row r="11" spans="1:19" hidden="1">
      <c r="A11" s="773"/>
      <c r="B11" s="772">
        <v>1342</v>
      </c>
      <c r="C11" s="785" t="s">
        <v>557</v>
      </c>
      <c r="D11" s="784">
        <v>2000</v>
      </c>
      <c r="E11" s="784">
        <v>3500</v>
      </c>
      <c r="F11" s="784">
        <v>3500</v>
      </c>
      <c r="G11" s="784">
        <f t="shared" si="3"/>
        <v>0</v>
      </c>
      <c r="H11" s="784">
        <f t="shared" si="1"/>
        <v>3500</v>
      </c>
      <c r="I11" s="802">
        <f t="shared" si="2"/>
        <v>3500</v>
      </c>
      <c r="J11" s="803">
        <v>3500</v>
      </c>
      <c r="K11" s="802">
        <v>7000</v>
      </c>
      <c r="L11" s="802">
        <v>7000</v>
      </c>
      <c r="M11" s="825">
        <v>0</v>
      </c>
      <c r="N11" s="825">
        <v>5000</v>
      </c>
      <c r="O11" s="825">
        <v>0</v>
      </c>
      <c r="P11" s="1006">
        <v>5000</v>
      </c>
      <c r="Q11" s="1033"/>
      <c r="R11" s="1035">
        <f t="shared" si="0"/>
        <v>5000</v>
      </c>
      <c r="S11" s="1035"/>
    </row>
    <row r="12" spans="1:19" hidden="1">
      <c r="A12" s="773"/>
      <c r="B12" s="772">
        <v>1343</v>
      </c>
      <c r="C12" s="785" t="s">
        <v>558</v>
      </c>
      <c r="D12" s="784">
        <v>40000</v>
      </c>
      <c r="E12" s="784">
        <v>40000</v>
      </c>
      <c r="F12" s="784">
        <v>18730</v>
      </c>
      <c r="G12" s="946">
        <f t="shared" si="3"/>
        <v>21270</v>
      </c>
      <c r="H12" s="784">
        <f t="shared" si="1"/>
        <v>40000</v>
      </c>
      <c r="I12" s="802">
        <f t="shared" si="2"/>
        <v>40000</v>
      </c>
      <c r="J12" s="803"/>
      <c r="K12" s="802">
        <v>37853</v>
      </c>
      <c r="L12" s="802">
        <v>40000</v>
      </c>
      <c r="M12" s="825">
        <v>45000</v>
      </c>
      <c r="N12" s="825">
        <v>45000</v>
      </c>
      <c r="O12" s="825">
        <v>35000</v>
      </c>
      <c r="P12" s="1006">
        <v>30000</v>
      </c>
      <c r="Q12" s="1033"/>
      <c r="R12" s="1035">
        <f t="shared" si="0"/>
        <v>30000</v>
      </c>
      <c r="S12" s="1035"/>
    </row>
    <row r="13" spans="1:19" hidden="1">
      <c r="A13" s="773"/>
      <c r="B13" s="772">
        <v>1345</v>
      </c>
      <c r="C13" s="785" t="s">
        <v>559</v>
      </c>
      <c r="D13" s="784"/>
      <c r="E13" s="784"/>
      <c r="F13" s="784"/>
      <c r="G13" s="946"/>
      <c r="H13" s="784"/>
      <c r="I13" s="802"/>
      <c r="J13" s="803"/>
      <c r="K13" s="802"/>
      <c r="L13" s="802"/>
      <c r="M13" s="825">
        <v>2170000</v>
      </c>
      <c r="N13" s="825">
        <v>2480000</v>
      </c>
      <c r="O13" s="825">
        <v>2600000</v>
      </c>
      <c r="P13" s="1006">
        <v>2800000</v>
      </c>
      <c r="Q13" s="1033"/>
      <c r="R13" s="1035">
        <f t="shared" si="0"/>
        <v>2800000</v>
      </c>
      <c r="S13" s="1035"/>
    </row>
    <row r="14" spans="1:19" hidden="1">
      <c r="A14" s="773"/>
      <c r="B14" s="772">
        <v>1361</v>
      </c>
      <c r="C14" s="785" t="s">
        <v>560</v>
      </c>
      <c r="D14" s="784">
        <v>13000</v>
      </c>
      <c r="E14" s="784">
        <v>13000</v>
      </c>
      <c r="F14" s="784">
        <v>7797</v>
      </c>
      <c r="G14" s="784">
        <f t="shared" si="3"/>
        <v>5203</v>
      </c>
      <c r="H14" s="784">
        <f t="shared" si="1"/>
        <v>13000</v>
      </c>
      <c r="I14" s="802">
        <f t="shared" si="2"/>
        <v>13000</v>
      </c>
      <c r="J14" s="803"/>
      <c r="K14" s="802">
        <v>12340</v>
      </c>
      <c r="L14" s="802">
        <v>13000</v>
      </c>
      <c r="M14" s="825">
        <v>10000</v>
      </c>
      <c r="N14" s="825">
        <v>10000</v>
      </c>
      <c r="O14" s="825">
        <v>10000</v>
      </c>
      <c r="P14" s="1006">
        <v>10000</v>
      </c>
      <c r="Q14" s="1033"/>
      <c r="R14" s="1035">
        <f t="shared" si="0"/>
        <v>10000</v>
      </c>
      <c r="S14" s="1035"/>
    </row>
    <row r="15" spans="1:19" hidden="1">
      <c r="A15" s="773"/>
      <c r="B15" s="772">
        <v>1381</v>
      </c>
      <c r="C15" s="785" t="s">
        <v>561</v>
      </c>
      <c r="D15" s="784">
        <v>60000</v>
      </c>
      <c r="E15" s="784">
        <v>70000</v>
      </c>
      <c r="F15" s="784">
        <v>91684.6</v>
      </c>
      <c r="G15" s="946">
        <f>100000-F15</f>
        <v>8315.3999999999942</v>
      </c>
      <c r="H15" s="784">
        <f>G15+F15</f>
        <v>100000</v>
      </c>
      <c r="I15" s="802">
        <f t="shared" si="2"/>
        <v>100000</v>
      </c>
      <c r="J15" s="803"/>
      <c r="K15" s="802">
        <v>140881</v>
      </c>
      <c r="L15" s="802">
        <v>150000</v>
      </c>
      <c r="M15" s="825">
        <v>170000</v>
      </c>
      <c r="N15" s="825">
        <v>180000</v>
      </c>
      <c r="O15" s="825">
        <v>185000</v>
      </c>
      <c r="P15" s="1006">
        <v>185000</v>
      </c>
      <c r="Q15" s="1033"/>
      <c r="R15" s="1035">
        <f t="shared" si="0"/>
        <v>185000</v>
      </c>
      <c r="S15" s="1035"/>
    </row>
    <row r="16" spans="1:19">
      <c r="A16" s="773"/>
      <c r="B16" s="772">
        <v>1386</v>
      </c>
      <c r="C16" s="785" t="s">
        <v>561</v>
      </c>
      <c r="D16" s="784"/>
      <c r="E16" s="784"/>
      <c r="F16" s="784"/>
      <c r="G16" s="946"/>
      <c r="H16" s="784"/>
      <c r="I16" s="802"/>
      <c r="J16" s="803"/>
      <c r="K16" s="802"/>
      <c r="L16" s="802"/>
      <c r="M16" s="825"/>
      <c r="N16" s="825"/>
      <c r="O16" s="825"/>
      <c r="P16" s="1006"/>
      <c r="Q16" s="1033"/>
      <c r="R16" s="1035"/>
      <c r="S16" s="1035">
        <v>100000</v>
      </c>
    </row>
    <row r="17" spans="1:19" ht="14" thickBot="1">
      <c r="A17" s="773"/>
      <c r="B17" s="772">
        <v>1387</v>
      </c>
      <c r="C17" s="785" t="s">
        <v>1234</v>
      </c>
      <c r="D17" s="784"/>
      <c r="E17" s="784"/>
      <c r="F17" s="784"/>
      <c r="G17" s="946"/>
      <c r="H17" s="784"/>
      <c r="I17" s="802"/>
      <c r="J17" s="803"/>
      <c r="K17" s="802"/>
      <c r="L17" s="802"/>
      <c r="M17" s="825"/>
      <c r="N17" s="825"/>
      <c r="O17" s="825"/>
      <c r="P17" s="1006"/>
      <c r="Q17" s="1033"/>
      <c r="R17" s="1035"/>
      <c r="S17" s="1035">
        <v>100000</v>
      </c>
    </row>
    <row r="18" spans="1:19" hidden="1">
      <c r="A18" s="773"/>
      <c r="B18" s="772">
        <v>1511</v>
      </c>
      <c r="C18" s="785" t="s">
        <v>562</v>
      </c>
      <c r="D18" s="784">
        <v>600000</v>
      </c>
      <c r="E18" s="784">
        <v>600000</v>
      </c>
      <c r="F18" s="784">
        <v>519740.61</v>
      </c>
      <c r="G18" s="784">
        <f t="shared" si="3"/>
        <v>80259.390000000014</v>
      </c>
      <c r="H18" s="784">
        <f t="shared" si="1"/>
        <v>600000</v>
      </c>
      <c r="I18" s="802">
        <f t="shared" si="2"/>
        <v>600000</v>
      </c>
      <c r="J18" s="803"/>
      <c r="K18" s="802">
        <v>532696</v>
      </c>
      <c r="L18" s="802">
        <v>600000</v>
      </c>
      <c r="M18" s="825">
        <v>550000</v>
      </c>
      <c r="N18" s="825">
        <v>550000</v>
      </c>
      <c r="O18" s="825">
        <v>550000</v>
      </c>
      <c r="P18" s="1006">
        <v>990000</v>
      </c>
      <c r="Q18" s="1033"/>
      <c r="R18" s="1035">
        <f>SUM(P18:Q18)</f>
        <v>990000</v>
      </c>
      <c r="S18" s="1035"/>
    </row>
    <row r="19" spans="1:19" ht="14" hidden="1" thickBot="1">
      <c r="A19" s="777" t="s">
        <v>563</v>
      </c>
      <c r="B19" s="778"/>
      <c r="C19" s="779"/>
      <c r="D19" s="782">
        <f t="shared" ref="D19:I19" si="4">SUM(D3:D18)</f>
        <v>16583000</v>
      </c>
      <c r="E19" s="782">
        <f t="shared" si="4"/>
        <v>16598500</v>
      </c>
      <c r="F19" s="782">
        <f t="shared" si="4"/>
        <v>11805065.42</v>
      </c>
      <c r="G19" s="782">
        <f t="shared" si="4"/>
        <v>7976086.8500000006</v>
      </c>
      <c r="H19" s="782">
        <f t="shared" si="4"/>
        <v>19781152.27</v>
      </c>
      <c r="I19" s="801">
        <f t="shared" si="4"/>
        <v>17432505.27</v>
      </c>
      <c r="J19" s="864"/>
      <c r="K19" s="801">
        <f t="shared" ref="K19:P19" si="5">SUM(K3:K18)</f>
        <v>17687682</v>
      </c>
      <c r="L19" s="801">
        <f t="shared" si="5"/>
        <v>18730000</v>
      </c>
      <c r="M19" s="865">
        <f t="shared" si="5"/>
        <v>26935007</v>
      </c>
      <c r="N19" s="865">
        <f t="shared" si="5"/>
        <v>27981000</v>
      </c>
      <c r="O19" s="865">
        <f t="shared" si="5"/>
        <v>32727000</v>
      </c>
      <c r="P19" s="835">
        <f t="shared" si="5"/>
        <v>35157000</v>
      </c>
      <c r="Q19" s="1040"/>
      <c r="R19" s="1044">
        <f>SUM(R3:R18)</f>
        <v>35157000</v>
      </c>
      <c r="S19" s="1044"/>
    </row>
    <row r="20" spans="1:19">
      <c r="A20" s="942"/>
      <c r="B20" s="943">
        <v>4111</v>
      </c>
      <c r="C20" s="790" t="s">
        <v>564</v>
      </c>
      <c r="D20" s="944"/>
      <c r="E20" s="944">
        <v>2179750</v>
      </c>
      <c r="F20" s="944">
        <v>2148750</v>
      </c>
      <c r="G20" s="944">
        <f t="shared" si="3"/>
        <v>31000</v>
      </c>
      <c r="H20" s="944">
        <f t="shared" si="1"/>
        <v>2179750</v>
      </c>
      <c r="I20" s="945"/>
      <c r="J20" s="866"/>
      <c r="K20" s="945"/>
      <c r="L20" s="945"/>
      <c r="M20" s="855">
        <v>32000</v>
      </c>
      <c r="N20" s="855"/>
      <c r="O20" s="855"/>
      <c r="P20" s="1007"/>
      <c r="Q20" s="1033"/>
      <c r="R20" s="1035"/>
      <c r="S20" s="1035">
        <v>32000</v>
      </c>
    </row>
    <row r="21" spans="1:19" ht="14" hidden="1" thickBot="1">
      <c r="A21" s="996"/>
      <c r="B21" s="997">
        <v>4111</v>
      </c>
      <c r="C21" s="998" t="s">
        <v>565</v>
      </c>
      <c r="D21" s="999"/>
      <c r="E21" s="999"/>
      <c r="F21" s="999"/>
      <c r="G21" s="999"/>
      <c r="H21" s="999"/>
      <c r="I21" s="1000"/>
      <c r="J21" s="1001">
        <v>56543.59</v>
      </c>
      <c r="K21" s="1000">
        <v>310545</v>
      </c>
      <c r="L21" s="1000"/>
      <c r="M21" s="992">
        <v>95000</v>
      </c>
      <c r="N21" s="992"/>
      <c r="O21" s="992"/>
      <c r="P21" s="1008"/>
      <c r="Q21" s="1033"/>
      <c r="R21" s="1035"/>
      <c r="S21" s="1035"/>
    </row>
    <row r="22" spans="1:19" hidden="1">
      <c r="A22" s="942"/>
      <c r="B22" s="943">
        <v>4112</v>
      </c>
      <c r="C22" s="790" t="s">
        <v>566</v>
      </c>
      <c r="D22" s="944">
        <v>342200</v>
      </c>
      <c r="E22" s="944">
        <v>368000</v>
      </c>
      <c r="F22" s="944">
        <v>245336</v>
      </c>
      <c r="G22" s="944">
        <f t="shared" si="3"/>
        <v>122664</v>
      </c>
      <c r="H22" s="944">
        <f t="shared" si="1"/>
        <v>368000</v>
      </c>
      <c r="I22" s="945">
        <f t="shared" si="2"/>
        <v>368000</v>
      </c>
      <c r="J22" s="1002">
        <v>27000</v>
      </c>
      <c r="K22" s="945">
        <v>296253</v>
      </c>
      <c r="L22" s="945">
        <v>368000</v>
      </c>
      <c r="M22" s="855">
        <v>368000</v>
      </c>
      <c r="N22" s="855">
        <v>368000</v>
      </c>
      <c r="O22" s="855">
        <v>368000</v>
      </c>
      <c r="P22" s="1007">
        <v>368000</v>
      </c>
      <c r="Q22" s="1033">
        <v>79400</v>
      </c>
      <c r="R22" s="1035">
        <f>SUM(P22:Q22)</f>
        <v>447400</v>
      </c>
      <c r="S22" s="1035"/>
    </row>
    <row r="23" spans="1:19" hidden="1">
      <c r="A23" s="947"/>
      <c r="B23" s="948">
        <v>4122</v>
      </c>
      <c r="C23" s="807" t="s">
        <v>1228</v>
      </c>
      <c r="D23" s="902"/>
      <c r="E23" s="902"/>
      <c r="F23" s="902"/>
      <c r="G23" s="902"/>
      <c r="H23" s="902"/>
      <c r="I23" s="903"/>
      <c r="J23" s="1004"/>
      <c r="K23" s="903"/>
      <c r="L23" s="903"/>
      <c r="M23" s="853"/>
      <c r="N23" s="853"/>
      <c r="O23" s="853"/>
      <c r="P23" s="1009"/>
      <c r="Q23" s="1033">
        <v>1346000</v>
      </c>
      <c r="R23" s="1035">
        <f>SUM(P23:Q23)</f>
        <v>1346000</v>
      </c>
      <c r="S23" s="1035"/>
    </row>
    <row r="24" spans="1:19" hidden="1">
      <c r="A24" s="773"/>
      <c r="B24" s="772">
        <v>4222</v>
      </c>
      <c r="C24" s="949" t="s">
        <v>567</v>
      </c>
      <c r="D24" s="784"/>
      <c r="E24" s="784"/>
      <c r="F24" s="784"/>
      <c r="G24" s="950"/>
      <c r="H24" s="950"/>
      <c r="I24" s="820">
        <v>10000000</v>
      </c>
      <c r="J24" s="803"/>
      <c r="K24" s="802"/>
      <c r="L24" s="802"/>
      <c r="M24" s="825"/>
      <c r="N24" s="825"/>
      <c r="O24" s="825"/>
      <c r="P24" s="1006"/>
      <c r="Q24" s="1033"/>
      <c r="R24" s="1035"/>
      <c r="S24" s="1035"/>
    </row>
    <row r="25" spans="1:19" hidden="1">
      <c r="A25" s="1097" t="s">
        <v>569</v>
      </c>
      <c r="B25" s="1098"/>
      <c r="C25" s="1098"/>
      <c r="D25" s="792">
        <f t="shared" ref="D25:I25" si="6">SUM(D20:D24)</f>
        <v>342200</v>
      </c>
      <c r="E25" s="792">
        <f t="shared" si="6"/>
        <v>2547750</v>
      </c>
      <c r="F25" s="792">
        <f t="shared" si="6"/>
        <v>2394086</v>
      </c>
      <c r="G25" s="792">
        <f t="shared" si="6"/>
        <v>153664</v>
      </c>
      <c r="H25" s="792">
        <f t="shared" si="6"/>
        <v>2547750</v>
      </c>
      <c r="I25" s="792">
        <f t="shared" si="6"/>
        <v>10368000</v>
      </c>
      <c r="J25" s="803"/>
      <c r="K25" s="792">
        <f>SUM(K21:K24)</f>
        <v>606798</v>
      </c>
      <c r="L25" s="792">
        <f>SUM(L21:L24)</f>
        <v>368000</v>
      </c>
      <c r="M25" s="827">
        <f>SUM(M20:M24)</f>
        <v>495000</v>
      </c>
      <c r="N25" s="827">
        <f>SUM(N20:N24)</f>
        <v>368000</v>
      </c>
      <c r="O25" s="827">
        <f>SUM(O20:O24)</f>
        <v>368000</v>
      </c>
      <c r="P25" s="834">
        <f>SUM(P20:P24)</f>
        <v>368000</v>
      </c>
      <c r="Q25" s="1040"/>
      <c r="R25" s="1044">
        <f>SUM(R20:R24)</f>
        <v>1793400</v>
      </c>
      <c r="S25" s="1044"/>
    </row>
    <row r="26" spans="1:19">
      <c r="A26" s="773">
        <v>1036</v>
      </c>
      <c r="B26" s="772">
        <v>2111</v>
      </c>
      <c r="C26" s="885" t="s">
        <v>570</v>
      </c>
      <c r="D26" s="783"/>
      <c r="E26" s="783"/>
      <c r="F26" s="783"/>
      <c r="G26" s="783"/>
      <c r="H26" s="783"/>
      <c r="I26" s="783"/>
      <c r="J26" s="803"/>
      <c r="K26" s="783"/>
      <c r="L26" s="783"/>
      <c r="M26" s="884"/>
      <c r="N26" s="884"/>
      <c r="O26" s="825">
        <v>60000</v>
      </c>
      <c r="P26" s="1006"/>
      <c r="Q26" s="1033"/>
      <c r="R26" s="1035"/>
      <c r="S26" s="1035">
        <v>3000</v>
      </c>
    </row>
    <row r="27" spans="1:19" hidden="1">
      <c r="A27" s="947">
        <v>2310</v>
      </c>
      <c r="B27" s="948">
        <v>2132</v>
      </c>
      <c r="C27" s="807" t="s">
        <v>571</v>
      </c>
      <c r="D27" s="902">
        <v>40000</v>
      </c>
      <c r="E27" s="902">
        <v>40000</v>
      </c>
      <c r="F27" s="902"/>
      <c r="G27" s="902">
        <f>E27-F27</f>
        <v>40000</v>
      </c>
      <c r="H27" s="902">
        <f t="shared" ref="H27:H43" si="7">G27+F27</f>
        <v>40000</v>
      </c>
      <c r="I27" s="903">
        <f>H27</f>
        <v>40000</v>
      </c>
      <c r="J27" s="860"/>
      <c r="K27" s="903"/>
      <c r="L27" s="903">
        <v>40000</v>
      </c>
      <c r="M27" s="853">
        <v>40000</v>
      </c>
      <c r="N27" s="853">
        <v>40000</v>
      </c>
      <c r="O27" s="853">
        <v>260000</v>
      </c>
      <c r="P27" s="1009">
        <v>250000</v>
      </c>
      <c r="Q27" s="1033"/>
      <c r="R27" s="1035">
        <f>SUM(P27:Q27)</f>
        <v>250000</v>
      </c>
      <c r="S27" s="1035"/>
    </row>
    <row r="28" spans="1:19" hidden="1">
      <c r="A28" s="773">
        <v>2329</v>
      </c>
      <c r="B28" s="772">
        <v>2111</v>
      </c>
      <c r="C28" s="785" t="s">
        <v>572</v>
      </c>
      <c r="D28" s="784">
        <v>4300000</v>
      </c>
      <c r="E28" s="784">
        <v>4300000</v>
      </c>
      <c r="F28" s="784">
        <v>3712414.18</v>
      </c>
      <c r="G28" s="784">
        <f>E28-F28</f>
        <v>587585.81999999983</v>
      </c>
      <c r="H28" s="784">
        <f t="shared" si="7"/>
        <v>4300000</v>
      </c>
      <c r="I28" s="802">
        <f>H28</f>
        <v>4300000</v>
      </c>
      <c r="J28" s="803"/>
      <c r="K28" s="802">
        <v>2205174</v>
      </c>
      <c r="L28" s="802">
        <v>4300000</v>
      </c>
      <c r="M28" s="825">
        <v>4400000</v>
      </c>
      <c r="N28" s="825">
        <v>4400000</v>
      </c>
      <c r="O28" s="825">
        <v>4400000</v>
      </c>
      <c r="P28" s="1006">
        <v>5000000</v>
      </c>
      <c r="Q28" s="1033"/>
      <c r="R28" s="1035">
        <f>SUM(P28:Q28)</f>
        <v>5000000</v>
      </c>
      <c r="S28" s="1035"/>
    </row>
    <row r="29" spans="1:19" hidden="1">
      <c r="A29" s="773">
        <v>3111</v>
      </c>
      <c r="B29" s="772">
        <v>2111</v>
      </c>
      <c r="C29" s="785" t="s">
        <v>573</v>
      </c>
      <c r="D29" s="784"/>
      <c r="E29" s="784"/>
      <c r="F29" s="784"/>
      <c r="G29" s="784"/>
      <c r="H29" s="784"/>
      <c r="I29" s="802"/>
      <c r="J29" s="803"/>
      <c r="K29" s="802">
        <v>11437</v>
      </c>
      <c r="L29" s="802">
        <v>30000</v>
      </c>
      <c r="M29" s="825">
        <v>40000</v>
      </c>
      <c r="N29" s="825">
        <v>40000</v>
      </c>
      <c r="O29" s="825">
        <v>40000</v>
      </c>
      <c r="P29" s="1006">
        <v>40000</v>
      </c>
      <c r="Q29" s="1033"/>
      <c r="R29" s="1035">
        <f>SUM(P29:Q29)</f>
        <v>40000</v>
      </c>
      <c r="S29" s="1035"/>
    </row>
    <row r="30" spans="1:19" hidden="1">
      <c r="A30" s="773">
        <v>3613</v>
      </c>
      <c r="B30" s="772">
        <v>2132</v>
      </c>
      <c r="C30" s="785" t="s">
        <v>574</v>
      </c>
      <c r="D30" s="784">
        <v>10000</v>
      </c>
      <c r="E30" s="784">
        <v>10000</v>
      </c>
      <c r="F30" s="784">
        <v>2000</v>
      </c>
      <c r="G30" s="784">
        <f>E30-F30</f>
        <v>8000</v>
      </c>
      <c r="H30" s="784">
        <f>G30+F30</f>
        <v>10000</v>
      </c>
      <c r="I30" s="802">
        <f t="shared" ref="I30:I43" si="8">H30</f>
        <v>10000</v>
      </c>
      <c r="J30" s="803"/>
      <c r="K30" s="802">
        <v>10000</v>
      </c>
      <c r="L30" s="802">
        <v>10000</v>
      </c>
      <c r="M30" s="825">
        <v>20000</v>
      </c>
      <c r="N30" s="825">
        <v>20000</v>
      </c>
      <c r="O30" s="825">
        <v>21000</v>
      </c>
      <c r="P30" s="1006">
        <v>20000</v>
      </c>
      <c r="Q30" s="1033"/>
      <c r="R30" s="1035">
        <f>SUM(P30:Q30)</f>
        <v>20000</v>
      </c>
      <c r="S30" s="1035"/>
    </row>
    <row r="31" spans="1:19" hidden="1">
      <c r="A31" s="773">
        <v>3631</v>
      </c>
      <c r="B31" s="772">
        <v>2111</v>
      </c>
      <c r="C31" s="785" t="s">
        <v>575</v>
      </c>
      <c r="D31" s="784"/>
      <c r="E31" s="784">
        <v>20000</v>
      </c>
      <c r="F31" s="784">
        <v>34000</v>
      </c>
      <c r="G31" s="784">
        <v>0</v>
      </c>
      <c r="H31" s="784">
        <f>G31+F31</f>
        <v>34000</v>
      </c>
      <c r="I31" s="802">
        <f t="shared" si="8"/>
        <v>34000</v>
      </c>
      <c r="J31" s="803">
        <v>155000</v>
      </c>
      <c r="K31" s="802">
        <v>198000</v>
      </c>
      <c r="L31" s="802"/>
      <c r="M31" s="825">
        <v>10000</v>
      </c>
      <c r="N31" s="825"/>
      <c r="O31" s="825"/>
      <c r="P31" s="1006"/>
      <c r="Q31" s="1033"/>
      <c r="R31" s="1035">
        <f>SUM(P31:Q31)</f>
        <v>0</v>
      </c>
      <c r="S31" s="1035"/>
    </row>
    <row r="32" spans="1:19">
      <c r="A32" s="773">
        <v>3639</v>
      </c>
      <c r="B32" s="772">
        <v>2119</v>
      </c>
      <c r="C32" s="785" t="s">
        <v>576</v>
      </c>
      <c r="D32" s="784"/>
      <c r="E32" s="784"/>
      <c r="F32" s="784"/>
      <c r="G32" s="784"/>
      <c r="H32" s="784"/>
      <c r="I32" s="802"/>
      <c r="J32" s="803"/>
      <c r="K32" s="802"/>
      <c r="L32" s="802"/>
      <c r="M32" s="825"/>
      <c r="N32" s="825"/>
      <c r="O32" s="825">
        <v>27000</v>
      </c>
      <c r="P32" s="1006"/>
      <c r="Q32" s="1033"/>
      <c r="R32" s="1035"/>
      <c r="S32" s="1035">
        <v>10000</v>
      </c>
    </row>
    <row r="33" spans="1:19">
      <c r="A33" s="773">
        <v>3639</v>
      </c>
      <c r="B33" s="772">
        <v>2131</v>
      </c>
      <c r="C33" s="785" t="s">
        <v>577</v>
      </c>
      <c r="D33" s="784"/>
      <c r="E33" s="784">
        <v>218000</v>
      </c>
      <c r="F33" s="784">
        <v>217922</v>
      </c>
      <c r="G33" s="784">
        <f>E33-F33</f>
        <v>78</v>
      </c>
      <c r="H33" s="784">
        <f t="shared" si="7"/>
        <v>218000</v>
      </c>
      <c r="I33" s="802">
        <f t="shared" si="8"/>
        <v>218000</v>
      </c>
      <c r="J33" s="803"/>
      <c r="K33" s="802"/>
      <c r="L33" s="802"/>
      <c r="M33" s="825">
        <v>15000</v>
      </c>
      <c r="N33" s="825"/>
      <c r="O33" s="825">
        <v>9000</v>
      </c>
      <c r="P33" s="1006"/>
      <c r="Q33" s="1033"/>
      <c r="R33" s="1035"/>
      <c r="S33" s="1035">
        <v>2000</v>
      </c>
    </row>
    <row r="34" spans="1:19" hidden="1">
      <c r="A34" s="892">
        <v>3639</v>
      </c>
      <c r="B34" s="893">
        <v>3111</v>
      </c>
      <c r="C34" s="894" t="s">
        <v>578</v>
      </c>
      <c r="D34" s="895"/>
      <c r="E34" s="895"/>
      <c r="F34" s="895"/>
      <c r="G34" s="895"/>
      <c r="H34" s="895"/>
      <c r="I34" s="896"/>
      <c r="J34" s="897"/>
      <c r="K34" s="896"/>
      <c r="L34" s="896"/>
      <c r="M34" s="898"/>
      <c r="N34" s="898"/>
      <c r="O34" s="898"/>
      <c r="P34" s="1010">
        <v>24000000</v>
      </c>
      <c r="Q34" s="1033"/>
      <c r="R34" s="1035">
        <f>SUM(P34:Q34)</f>
        <v>24000000</v>
      </c>
      <c r="S34" s="1035"/>
    </row>
    <row r="35" spans="1:19" hidden="1">
      <c r="A35" s="773">
        <v>3725</v>
      </c>
      <c r="B35" s="772">
        <v>2111</v>
      </c>
      <c r="C35" s="785" t="s">
        <v>580</v>
      </c>
      <c r="D35" s="784">
        <v>320000</v>
      </c>
      <c r="E35" s="784">
        <v>320000</v>
      </c>
      <c r="F35" s="784">
        <v>233974</v>
      </c>
      <c r="G35" s="784">
        <f>E35-F35</f>
        <v>86026</v>
      </c>
      <c r="H35" s="784">
        <f t="shared" si="7"/>
        <v>320000</v>
      </c>
      <c r="I35" s="802">
        <f t="shared" si="8"/>
        <v>320000</v>
      </c>
      <c r="J35" s="803"/>
      <c r="K35" s="802">
        <v>266159</v>
      </c>
      <c r="L35" s="802">
        <v>320000</v>
      </c>
      <c r="M35" s="825">
        <v>320000</v>
      </c>
      <c r="N35" s="825">
        <v>400000</v>
      </c>
      <c r="O35" s="825">
        <v>400000</v>
      </c>
      <c r="P35" s="1006">
        <v>450000</v>
      </c>
      <c r="Q35" s="1033"/>
      <c r="R35" s="1035">
        <f>SUM(P35:Q35)</f>
        <v>450000</v>
      </c>
      <c r="S35" s="1035"/>
    </row>
    <row r="36" spans="1:19" hidden="1">
      <c r="A36" s="773">
        <v>3726</v>
      </c>
      <c r="B36" s="772">
        <v>2111</v>
      </c>
      <c r="C36" s="785" t="s">
        <v>581</v>
      </c>
      <c r="D36" s="784">
        <v>260000</v>
      </c>
      <c r="E36" s="784">
        <v>320000</v>
      </c>
      <c r="F36" s="784">
        <v>322156</v>
      </c>
      <c r="G36" s="784">
        <v>0</v>
      </c>
      <c r="H36" s="784">
        <f t="shared" si="7"/>
        <v>322156</v>
      </c>
      <c r="I36" s="802">
        <v>400000</v>
      </c>
      <c r="J36" s="803">
        <v>5000</v>
      </c>
      <c r="K36" s="802">
        <v>421161</v>
      </c>
      <c r="L36" s="802">
        <v>430000</v>
      </c>
      <c r="M36" s="825">
        <v>470000</v>
      </c>
      <c r="N36" s="825">
        <v>480000</v>
      </c>
      <c r="O36" s="825">
        <v>490000</v>
      </c>
      <c r="P36" s="1006">
        <v>530000</v>
      </c>
      <c r="Q36" s="1033"/>
      <c r="R36" s="1035">
        <f>SUM(P36:Q36)</f>
        <v>530000</v>
      </c>
      <c r="S36" s="1035"/>
    </row>
    <row r="37" spans="1:19" hidden="1">
      <c r="A37" s="773">
        <v>6171</v>
      </c>
      <c r="B37" s="772">
        <v>2111</v>
      </c>
      <c r="C37" s="785" t="s">
        <v>582</v>
      </c>
      <c r="D37" s="784">
        <v>1000</v>
      </c>
      <c r="E37" s="784">
        <v>4500</v>
      </c>
      <c r="F37" s="784">
        <v>14412</v>
      </c>
      <c r="G37" s="784">
        <v>0</v>
      </c>
      <c r="H37" s="784">
        <f t="shared" si="7"/>
        <v>14412</v>
      </c>
      <c r="I37" s="802">
        <f t="shared" si="8"/>
        <v>14412</v>
      </c>
      <c r="J37" s="803"/>
      <c r="K37" s="802">
        <v>3034</v>
      </c>
      <c r="L37" s="802">
        <v>5000</v>
      </c>
      <c r="M37" s="825">
        <v>6000</v>
      </c>
      <c r="N37" s="825">
        <v>5000</v>
      </c>
      <c r="O37" s="825">
        <v>2000</v>
      </c>
      <c r="P37" s="1006">
        <v>5000</v>
      </c>
      <c r="Q37" s="1033"/>
      <c r="R37" s="1035">
        <f>SUM(P37:Q37)</f>
        <v>5000</v>
      </c>
      <c r="S37" s="1035"/>
    </row>
    <row r="38" spans="1:19" hidden="1">
      <c r="A38" s="773">
        <v>6171</v>
      </c>
      <c r="B38" s="772">
        <v>2112</v>
      </c>
      <c r="C38" s="785" t="s">
        <v>583</v>
      </c>
      <c r="D38" s="784">
        <v>5000</v>
      </c>
      <c r="E38" s="784">
        <v>5000</v>
      </c>
      <c r="F38" s="784">
        <v>3850</v>
      </c>
      <c r="G38" s="784">
        <f>E38-F38</f>
        <v>1150</v>
      </c>
      <c r="H38" s="784">
        <f t="shared" si="7"/>
        <v>5000</v>
      </c>
      <c r="I38" s="802">
        <f t="shared" si="8"/>
        <v>5000</v>
      </c>
      <c r="J38" s="803"/>
      <c r="K38" s="802">
        <v>3862</v>
      </c>
      <c r="L38" s="802">
        <v>5000</v>
      </c>
      <c r="M38" s="825">
        <v>39000</v>
      </c>
      <c r="N38" s="825">
        <v>5000</v>
      </c>
      <c r="O38" s="825">
        <v>2000</v>
      </c>
      <c r="P38" s="1006">
        <v>2000</v>
      </c>
      <c r="Q38" s="1033"/>
      <c r="R38" s="1035">
        <f>SUM(P38:Q38)</f>
        <v>2000</v>
      </c>
      <c r="S38" s="1035"/>
    </row>
    <row r="39" spans="1:19" hidden="1">
      <c r="A39" s="773">
        <v>6171</v>
      </c>
      <c r="B39" s="772">
        <v>2132</v>
      </c>
      <c r="C39" s="785" t="s">
        <v>584</v>
      </c>
      <c r="D39" s="784">
        <v>2000</v>
      </c>
      <c r="E39" s="784">
        <v>2000</v>
      </c>
      <c r="F39" s="784"/>
      <c r="G39" s="784">
        <f>E39-F39</f>
        <v>2000</v>
      </c>
      <c r="H39" s="784">
        <f>G39+F39</f>
        <v>2000</v>
      </c>
      <c r="I39" s="802">
        <f t="shared" si="8"/>
        <v>2000</v>
      </c>
      <c r="J39" s="803"/>
      <c r="K39" s="802">
        <v>1212</v>
      </c>
      <c r="L39" s="802">
        <v>2000</v>
      </c>
      <c r="M39" s="825"/>
      <c r="N39" s="825"/>
      <c r="O39" s="825"/>
      <c r="P39" s="1006"/>
      <c r="Q39" s="1033"/>
      <c r="R39" s="1035"/>
      <c r="S39" s="1035"/>
    </row>
    <row r="40" spans="1:19" hidden="1">
      <c r="A40" s="773">
        <v>6171</v>
      </c>
      <c r="B40" s="772">
        <v>2212</v>
      </c>
      <c r="C40" s="785" t="s">
        <v>585</v>
      </c>
      <c r="D40" s="784"/>
      <c r="E40" s="784">
        <v>500</v>
      </c>
      <c r="F40" s="784">
        <v>1500</v>
      </c>
      <c r="G40" s="784">
        <v>0</v>
      </c>
      <c r="H40" s="784">
        <f t="shared" si="7"/>
        <v>1500</v>
      </c>
      <c r="I40" s="802">
        <f t="shared" si="8"/>
        <v>1500</v>
      </c>
      <c r="J40" s="803"/>
      <c r="K40" s="802">
        <v>5000</v>
      </c>
      <c r="L40" s="802">
        <v>1500</v>
      </c>
      <c r="M40" s="825"/>
      <c r="N40" s="825">
        <v>2000</v>
      </c>
      <c r="O40" s="825">
        <v>1000</v>
      </c>
      <c r="P40" s="1006">
        <v>10000</v>
      </c>
      <c r="Q40" s="1033"/>
      <c r="R40" s="1035">
        <f>SUM(P40:Q40)</f>
        <v>10000</v>
      </c>
      <c r="S40" s="1035"/>
    </row>
    <row r="41" spans="1:19" ht="14" thickBot="1">
      <c r="A41" s="773">
        <v>6171</v>
      </c>
      <c r="B41" s="772">
        <v>2324</v>
      </c>
      <c r="C41" s="785" t="s">
        <v>1235</v>
      </c>
      <c r="D41" s="784"/>
      <c r="E41" s="784"/>
      <c r="F41" s="784"/>
      <c r="G41" s="784"/>
      <c r="H41" s="784"/>
      <c r="I41" s="802"/>
      <c r="J41" s="803"/>
      <c r="K41" s="802"/>
      <c r="L41" s="802"/>
      <c r="M41" s="825"/>
      <c r="N41" s="825"/>
      <c r="O41" s="825"/>
      <c r="P41" s="1006"/>
      <c r="Q41" s="1033"/>
      <c r="R41" s="1035"/>
      <c r="S41" s="1035">
        <v>118000</v>
      </c>
    </row>
    <row r="42" spans="1:19" hidden="1">
      <c r="A42" s="892">
        <v>6171</v>
      </c>
      <c r="B42" s="893">
        <v>3113</v>
      </c>
      <c r="C42" s="894" t="s">
        <v>586</v>
      </c>
      <c r="D42" s="895"/>
      <c r="E42" s="895"/>
      <c r="F42" s="895"/>
      <c r="G42" s="895"/>
      <c r="H42" s="895"/>
      <c r="I42" s="896"/>
      <c r="J42" s="897"/>
      <c r="K42" s="896"/>
      <c r="L42" s="896"/>
      <c r="M42" s="898"/>
      <c r="N42" s="898"/>
      <c r="O42" s="898"/>
      <c r="P42" s="1010"/>
      <c r="Q42" s="1033"/>
      <c r="R42" s="1035"/>
      <c r="S42" s="1035"/>
    </row>
    <row r="43" spans="1:19" hidden="1">
      <c r="A43" s="773">
        <v>6310</v>
      </c>
      <c r="B43" s="772">
        <v>2141</v>
      </c>
      <c r="C43" s="785" t="s">
        <v>587</v>
      </c>
      <c r="D43" s="784">
        <v>500</v>
      </c>
      <c r="E43" s="784">
        <v>500</v>
      </c>
      <c r="F43" s="784"/>
      <c r="G43" s="784">
        <f>E43-F43</f>
        <v>500</v>
      </c>
      <c r="H43" s="784">
        <f t="shared" si="7"/>
        <v>500</v>
      </c>
      <c r="I43" s="802">
        <f t="shared" si="8"/>
        <v>500</v>
      </c>
      <c r="J43" s="803"/>
      <c r="K43" s="802"/>
      <c r="L43" s="802">
        <v>500</v>
      </c>
      <c r="M43" s="825">
        <v>930000</v>
      </c>
      <c r="N43" s="825">
        <v>1872000</v>
      </c>
      <c r="O43" s="825">
        <v>2300000</v>
      </c>
      <c r="P43" s="1006">
        <v>1500000</v>
      </c>
      <c r="Q43" s="1033"/>
      <c r="R43" s="1035">
        <f>SUM(P43:Q43)</f>
        <v>1500000</v>
      </c>
      <c r="S43" s="1035"/>
    </row>
    <row r="44" spans="1:19" hidden="1">
      <c r="A44" s="1099" t="s">
        <v>588</v>
      </c>
      <c r="B44" s="1100"/>
      <c r="C44" s="1101"/>
      <c r="D44" s="849">
        <f t="shared" ref="D44:I44" si="9">SUM(D27:D43)</f>
        <v>4938500</v>
      </c>
      <c r="E44" s="849">
        <f t="shared" si="9"/>
        <v>5240500</v>
      </c>
      <c r="F44" s="951">
        <f t="shared" si="9"/>
        <v>4542228.18</v>
      </c>
      <c r="G44" s="951">
        <f t="shared" si="9"/>
        <v>725339.81999999983</v>
      </c>
      <c r="H44" s="951">
        <f t="shared" si="9"/>
        <v>5267568</v>
      </c>
      <c r="I44" s="850">
        <f t="shared" si="9"/>
        <v>5345412</v>
      </c>
      <c r="J44" s="851"/>
      <c r="K44" s="850">
        <f t="shared" ref="K44:N44" si="10">SUM(K27:K43)</f>
        <v>3125039</v>
      </c>
      <c r="L44" s="850">
        <f t="shared" si="10"/>
        <v>5144000</v>
      </c>
      <c r="M44" s="852">
        <f t="shared" si="10"/>
        <v>6290000</v>
      </c>
      <c r="N44" s="852">
        <f t="shared" si="10"/>
        <v>7264000</v>
      </c>
      <c r="O44" s="852">
        <f>SUM(O26:O43)</f>
        <v>8012000</v>
      </c>
      <c r="P44" s="1011">
        <f>SUM(P26:P43)-P34-P42</f>
        <v>7807000</v>
      </c>
      <c r="Q44" s="1040"/>
      <c r="R44" s="1044"/>
      <c r="S44" s="1044"/>
    </row>
    <row r="45" spans="1:19" ht="14" hidden="1" thickBot="1">
      <c r="A45" s="1102" t="s">
        <v>589</v>
      </c>
      <c r="B45" s="1103"/>
      <c r="C45" s="1104"/>
      <c r="D45" s="782" t="e">
        <f>#REF!</f>
        <v>#REF!</v>
      </c>
      <c r="E45" s="782" t="e">
        <f>#REF!</f>
        <v>#REF!</v>
      </c>
      <c r="F45" s="782" t="e">
        <f>#REF!</f>
        <v>#REF!</v>
      </c>
      <c r="G45" s="782" t="e">
        <f>#REF!</f>
        <v>#REF!</v>
      </c>
      <c r="H45" s="782" t="e">
        <f>G45+F45</f>
        <v>#REF!</v>
      </c>
      <c r="I45" s="791" t="e">
        <f>#REF!</f>
        <v>#REF!</v>
      </c>
      <c r="J45" s="857"/>
      <c r="K45" s="791"/>
      <c r="L45" s="822"/>
      <c r="M45" s="858"/>
      <c r="N45" s="858">
        <f>N34+N42</f>
        <v>0</v>
      </c>
      <c r="O45" s="858">
        <f>O34+O42</f>
        <v>0</v>
      </c>
      <c r="P45" s="1012">
        <f>P34+P42</f>
        <v>24000000</v>
      </c>
      <c r="Q45" s="1040"/>
      <c r="R45" s="1044"/>
      <c r="S45" s="1044"/>
    </row>
    <row r="46" spans="1:19" ht="14" thickBot="1">
      <c r="A46" s="1105" t="s">
        <v>590</v>
      </c>
      <c r="B46" s="1106"/>
      <c r="C46" s="1107"/>
      <c r="D46" s="793" t="e">
        <f t="shared" ref="D46:I46" si="11">D19+D25+D44+D45</f>
        <v>#REF!</v>
      </c>
      <c r="E46" s="793" t="e">
        <f t="shared" si="11"/>
        <v>#REF!</v>
      </c>
      <c r="F46" s="793" t="e">
        <f t="shared" si="11"/>
        <v>#REF!</v>
      </c>
      <c r="G46" s="793" t="e">
        <f t="shared" si="11"/>
        <v>#REF!</v>
      </c>
      <c r="H46" s="793" t="e">
        <f t="shared" si="11"/>
        <v>#REF!</v>
      </c>
      <c r="I46" s="794" t="e">
        <f t="shared" si="11"/>
        <v>#REF!</v>
      </c>
      <c r="J46" s="814"/>
      <c r="K46" s="794">
        <f>K19+K25+K44</f>
        <v>21419519</v>
      </c>
      <c r="L46" s="823">
        <f>L19+L25+L44</f>
        <v>24242000</v>
      </c>
      <c r="M46" s="865">
        <f>M19+M25+M44+M45</f>
        <v>33720007</v>
      </c>
      <c r="N46" s="865">
        <f>N19+N25+N44+N45</f>
        <v>35613000</v>
      </c>
      <c r="O46" s="858">
        <f>O19+O25+O44+O45</f>
        <v>41107000</v>
      </c>
      <c r="P46" s="1012">
        <f>P19+P25+P44+P45</f>
        <v>67332000</v>
      </c>
      <c r="Q46" s="1040">
        <f>SUM(Q3:Q45)</f>
        <v>1425400</v>
      </c>
      <c r="R46" s="1044">
        <f>SUM(P46:Q46)</f>
        <v>68757400</v>
      </c>
      <c r="S46" s="1044">
        <f>SUM(S3:S45)</f>
        <v>476000</v>
      </c>
    </row>
    <row r="47" spans="1:19" ht="14" hidden="1" thickBot="1">
      <c r="A47" s="952"/>
      <c r="B47" s="952"/>
      <c r="C47" s="788"/>
      <c r="D47" s="787"/>
      <c r="E47" s="787"/>
      <c r="F47" s="787"/>
      <c r="G47" s="953"/>
      <c r="H47" s="954"/>
      <c r="I47" s="954"/>
      <c r="J47" s="795"/>
      <c r="K47" s="954"/>
      <c r="L47" s="954"/>
      <c r="M47" s="826"/>
      <c r="N47" s="826"/>
      <c r="O47" s="826"/>
      <c r="P47" s="826"/>
      <c r="Q47" s="1033"/>
      <c r="R47" s="1035"/>
      <c r="S47" s="1035"/>
    </row>
    <row r="48" spans="1:19" ht="24" hidden="1">
      <c r="A48" s="867"/>
      <c r="B48" s="955">
        <v>8123</v>
      </c>
      <c r="C48" s="868" t="s">
        <v>591</v>
      </c>
      <c r="D48" s="869"/>
      <c r="E48" s="869"/>
      <c r="F48" s="869"/>
      <c r="G48" s="869"/>
      <c r="H48" s="869"/>
      <c r="I48" s="869"/>
      <c r="J48" s="854" t="s">
        <v>592</v>
      </c>
      <c r="K48" s="869"/>
      <c r="L48" s="870"/>
      <c r="M48" s="871"/>
      <c r="N48" s="871"/>
      <c r="O48" s="855"/>
      <c r="P48" s="1007"/>
      <c r="Q48" s="1033"/>
      <c r="R48" s="1035"/>
      <c r="S48" s="1035"/>
    </row>
    <row r="49" spans="1:19" ht="14" thickBot="1">
      <c r="A49" s="872">
        <v>8115</v>
      </c>
      <c r="B49" s="873">
        <v>8115</v>
      </c>
      <c r="C49" s="874" t="s">
        <v>593</v>
      </c>
      <c r="D49" s="875">
        <f>11600200+10650000+200000+850000</f>
        <v>23300200</v>
      </c>
      <c r="E49" s="875">
        <v>25571150</v>
      </c>
      <c r="F49" s="875">
        <f>16406358.89+45150</f>
        <v>16451508.890000001</v>
      </c>
      <c r="G49" s="875" t="e">
        <f>-(G46-G197)</f>
        <v>#REF!</v>
      </c>
      <c r="H49" s="875" t="e">
        <f>-(H46-H197)</f>
        <v>#REF!</v>
      </c>
      <c r="I49" s="875" t="e">
        <f>-(I46-I197)</f>
        <v>#REF!</v>
      </c>
      <c r="J49" s="864">
        <v>-51105.41</v>
      </c>
      <c r="K49" s="875"/>
      <c r="L49" s="875">
        <v>11233929</v>
      </c>
      <c r="M49" s="876">
        <f>M197-M46</f>
        <v>-33720007</v>
      </c>
      <c r="N49" s="876">
        <f>N197-N46</f>
        <v>-35613000</v>
      </c>
      <c r="O49" s="876">
        <v>-6856105</v>
      </c>
      <c r="P49" s="1013">
        <f>33991000+1210000</f>
        <v>35201000</v>
      </c>
      <c r="Q49" s="1033">
        <v>33957287.469999999</v>
      </c>
      <c r="R49" s="1035">
        <f>SUM(P49:Q49)</f>
        <v>69158287.469999999</v>
      </c>
      <c r="S49" s="1035">
        <v>-211900</v>
      </c>
    </row>
    <row r="50" spans="1:19" ht="14" thickBot="1">
      <c r="A50" s="1108" t="s">
        <v>594</v>
      </c>
      <c r="B50" s="1109"/>
      <c r="C50" s="1110"/>
      <c r="D50" s="793" t="e">
        <f t="shared" ref="D50:I50" si="12">SUM(D46:D49)</f>
        <v>#REF!</v>
      </c>
      <c r="E50" s="793" t="e">
        <f t="shared" si="12"/>
        <v>#REF!</v>
      </c>
      <c r="F50" s="793" t="e">
        <f t="shared" si="12"/>
        <v>#REF!</v>
      </c>
      <c r="G50" s="793" t="e">
        <f t="shared" si="12"/>
        <v>#REF!</v>
      </c>
      <c r="H50" s="793" t="e">
        <f t="shared" si="12"/>
        <v>#REF!</v>
      </c>
      <c r="I50" s="794" t="e">
        <f t="shared" si="12"/>
        <v>#REF!</v>
      </c>
      <c r="J50" s="815"/>
      <c r="K50" s="794">
        <f>SUM(K46:K49)</f>
        <v>21419519</v>
      </c>
      <c r="L50" s="823">
        <f>SUM(L46:L49)</f>
        <v>35475929</v>
      </c>
      <c r="M50" s="878">
        <f>SUM(M46:M49)</f>
        <v>0</v>
      </c>
      <c r="N50" s="878">
        <f>SUM(N46:N49)</f>
        <v>0</v>
      </c>
      <c r="O50" s="887">
        <f>O46+O48+O49</f>
        <v>34250895</v>
      </c>
      <c r="P50" s="1014">
        <f>P46+P48+P49</f>
        <v>102533000</v>
      </c>
      <c r="Q50" s="1034">
        <f>SUM(Q46:Q49)</f>
        <v>35382687.469999999</v>
      </c>
      <c r="R50" s="1044">
        <f>R46+R49</f>
        <v>137915687.47</v>
      </c>
      <c r="S50" s="1044">
        <f>S46+S49</f>
        <v>264100</v>
      </c>
    </row>
    <row r="51" spans="1:19">
      <c r="A51" s="487"/>
      <c r="B51" s="487"/>
      <c r="C51" s="487"/>
      <c r="D51" s="789"/>
      <c r="E51" s="789"/>
      <c r="F51" s="789"/>
      <c r="G51" s="789"/>
      <c r="H51" s="789"/>
      <c r="I51" s="789"/>
      <c r="J51" s="900"/>
      <c r="K51" s="789"/>
      <c r="L51" s="789"/>
      <c r="M51" s="831"/>
      <c r="N51" s="831"/>
      <c r="O51" s="826"/>
      <c r="P51" s="826"/>
      <c r="Q51" s="150"/>
    </row>
    <row r="52" spans="1:19" hidden="1">
      <c r="A52" s="487"/>
      <c r="B52" s="487"/>
      <c r="C52" s="487"/>
      <c r="D52" s="789"/>
      <c r="E52" s="789"/>
      <c r="F52" s="789"/>
      <c r="G52" s="789"/>
      <c r="H52" s="789"/>
      <c r="I52" s="789"/>
      <c r="J52" s="900"/>
      <c r="K52" s="789"/>
      <c r="L52" s="789"/>
      <c r="M52" s="831"/>
      <c r="N52" s="831"/>
      <c r="O52" s="826"/>
      <c r="P52" s="826"/>
      <c r="Q52" s="150"/>
    </row>
    <row r="53" spans="1:19" hidden="1">
      <c r="A53" s="487"/>
      <c r="B53" s="487"/>
      <c r="C53" s="487"/>
      <c r="D53" s="789"/>
      <c r="E53" s="789"/>
      <c r="F53" s="789"/>
      <c r="G53" s="789"/>
      <c r="H53" s="789"/>
      <c r="I53" s="789"/>
      <c r="J53" s="900"/>
      <c r="K53" s="789"/>
      <c r="L53" s="789"/>
      <c r="M53" s="831"/>
      <c r="N53" s="831"/>
      <c r="O53" s="826"/>
      <c r="P53" s="826"/>
      <c r="Q53" s="150"/>
    </row>
    <row r="54" spans="1:19" hidden="1">
      <c r="A54" s="487"/>
      <c r="B54" s="487"/>
      <c r="C54" s="487"/>
      <c r="D54" s="789"/>
      <c r="E54" s="789"/>
      <c r="F54" s="789"/>
      <c r="G54" s="789"/>
      <c r="H54" s="789"/>
      <c r="I54" s="789"/>
      <c r="J54" s="900"/>
      <c r="K54" s="789"/>
      <c r="L54" s="789"/>
      <c r="M54" s="831"/>
      <c r="N54" s="831"/>
      <c r="O54" s="826"/>
      <c r="P54" s="826"/>
      <c r="Q54" s="150"/>
    </row>
    <row r="55" spans="1:19" hidden="1">
      <c r="A55" s="487"/>
      <c r="B55" s="487"/>
      <c r="C55" s="487"/>
      <c r="D55" s="789"/>
      <c r="E55" s="789"/>
      <c r="F55" s="789"/>
      <c r="G55" s="789"/>
      <c r="H55" s="789"/>
      <c r="I55" s="789"/>
      <c r="J55" s="900"/>
      <c r="K55" s="789"/>
      <c r="L55" s="789"/>
      <c r="M55" s="831"/>
      <c r="N55" s="831"/>
      <c r="O55" s="826"/>
      <c r="P55" s="826"/>
      <c r="Q55" s="150"/>
    </row>
    <row r="56" spans="1:19" hidden="1">
      <c r="A56" s="487"/>
      <c r="B56" s="487"/>
      <c r="C56" s="487"/>
      <c r="D56" s="789"/>
      <c r="E56" s="789"/>
      <c r="F56" s="789"/>
      <c r="G56" s="789"/>
      <c r="H56" s="789"/>
      <c r="I56" s="789"/>
      <c r="J56" s="900"/>
      <c r="K56" s="789"/>
      <c r="L56" s="789"/>
      <c r="M56" s="831"/>
      <c r="N56" s="831"/>
      <c r="O56" s="826"/>
      <c r="P56" s="826"/>
      <c r="Q56" s="150"/>
    </row>
    <row r="57" spans="1:19" hidden="1">
      <c r="A57" s="487"/>
      <c r="B57" s="487"/>
      <c r="C57" s="487"/>
      <c r="D57" s="789"/>
      <c r="E57" s="789"/>
      <c r="F57" s="789"/>
      <c r="G57" s="789"/>
      <c r="H57" s="789"/>
      <c r="I57" s="789"/>
      <c r="J57" s="900"/>
      <c r="K57" s="789"/>
      <c r="L57" s="789"/>
      <c r="M57" s="831"/>
      <c r="N57" s="831"/>
      <c r="O57" s="826"/>
      <c r="P57" s="826"/>
      <c r="Q57" s="150"/>
    </row>
    <row r="58" spans="1:19" hidden="1">
      <c r="A58" s="487"/>
      <c r="B58" s="487"/>
      <c r="C58" s="487"/>
      <c r="D58" s="789"/>
      <c r="E58" s="789"/>
      <c r="F58" s="789"/>
      <c r="G58" s="789"/>
      <c r="H58" s="789"/>
      <c r="I58" s="789"/>
      <c r="J58" s="900"/>
      <c r="K58" s="789"/>
      <c r="L58" s="789"/>
      <c r="M58" s="831"/>
      <c r="N58" s="831"/>
      <c r="O58" s="826"/>
      <c r="P58" s="826"/>
      <c r="Q58" s="150"/>
    </row>
    <row r="59" spans="1:19" hidden="1">
      <c r="A59" s="487"/>
      <c r="B59" s="487"/>
      <c r="C59" s="487"/>
      <c r="D59" s="789"/>
      <c r="E59" s="789"/>
      <c r="F59" s="789"/>
      <c r="G59" s="789"/>
      <c r="H59" s="789"/>
      <c r="I59" s="789"/>
      <c r="J59" s="900"/>
      <c r="K59" s="789"/>
      <c r="L59" s="789"/>
      <c r="M59" s="831"/>
      <c r="N59" s="831"/>
      <c r="O59" s="826"/>
      <c r="P59" s="826"/>
      <c r="Q59" s="150"/>
    </row>
    <row r="60" spans="1:19" hidden="1">
      <c r="A60" s="487"/>
      <c r="B60" s="487"/>
      <c r="C60" s="487"/>
      <c r="D60" s="789"/>
      <c r="E60" s="789"/>
      <c r="F60" s="789"/>
      <c r="G60" s="789"/>
      <c r="H60" s="789"/>
      <c r="I60" s="789"/>
      <c r="J60" s="900"/>
      <c r="K60" s="789"/>
      <c r="L60" s="789"/>
      <c r="M60" s="831"/>
      <c r="N60" s="831"/>
      <c r="O60" s="826"/>
      <c r="P60" s="826"/>
      <c r="Q60" s="150"/>
    </row>
    <row r="61" spans="1:19" hidden="1">
      <c r="A61" s="487"/>
      <c r="B61" s="487"/>
      <c r="C61" s="487"/>
      <c r="D61" s="789"/>
      <c r="E61" s="789"/>
      <c r="F61" s="789"/>
      <c r="G61" s="789"/>
      <c r="H61" s="789"/>
      <c r="I61" s="789"/>
      <c r="J61" s="900"/>
      <c r="K61" s="789"/>
      <c r="L61" s="789"/>
      <c r="M61" s="831"/>
      <c r="N61" s="831"/>
      <c r="O61" s="826"/>
      <c r="P61" s="826"/>
      <c r="Q61" s="150"/>
    </row>
    <row r="62" spans="1:19" hidden="1">
      <c r="A62" s="487"/>
      <c r="B62" s="487"/>
      <c r="C62" s="487"/>
      <c r="D62" s="789"/>
      <c r="E62" s="789"/>
      <c r="F62" s="789"/>
      <c r="G62" s="789"/>
      <c r="H62" s="789"/>
      <c r="I62" s="789"/>
      <c r="J62" s="900"/>
      <c r="K62" s="789"/>
      <c r="L62" s="789"/>
      <c r="M62" s="831"/>
      <c r="N62" s="831"/>
      <c r="O62" s="826"/>
      <c r="P62" s="826"/>
      <c r="Q62" s="150"/>
    </row>
    <row r="63" spans="1:19" hidden="1">
      <c r="A63" s="487"/>
      <c r="B63" s="487"/>
      <c r="C63" s="487"/>
      <c r="D63" s="789"/>
      <c r="E63" s="789"/>
      <c r="F63" s="789"/>
      <c r="G63" s="789"/>
      <c r="H63" s="789"/>
      <c r="I63" s="789"/>
      <c r="J63" s="900"/>
      <c r="K63" s="789"/>
      <c r="L63" s="789"/>
      <c r="M63" s="831"/>
      <c r="N63" s="831"/>
      <c r="O63" s="826"/>
      <c r="P63" s="826"/>
      <c r="Q63" s="150"/>
    </row>
    <row r="64" spans="1:19" hidden="1">
      <c r="A64" s="487"/>
      <c r="B64" s="487"/>
      <c r="C64" s="487"/>
      <c r="D64" s="789"/>
      <c r="E64" s="789"/>
      <c r="F64" s="789"/>
      <c r="G64" s="789"/>
      <c r="H64" s="789"/>
      <c r="I64" s="789"/>
      <c r="J64" s="900"/>
      <c r="K64" s="789"/>
      <c r="L64" s="789"/>
      <c r="M64" s="831"/>
      <c r="N64" s="831"/>
      <c r="O64" s="826"/>
      <c r="P64" s="826"/>
      <c r="Q64" s="150"/>
    </row>
    <row r="65" spans="1:19" hidden="1">
      <c r="A65" s="487"/>
      <c r="B65" s="487"/>
      <c r="C65" s="487"/>
      <c r="D65" s="789"/>
      <c r="E65" s="789"/>
      <c r="F65" s="789"/>
      <c r="G65" s="789"/>
      <c r="H65" s="789"/>
      <c r="I65" s="789"/>
      <c r="J65" s="900"/>
      <c r="K65" s="789"/>
      <c r="L65" s="789"/>
      <c r="M65" s="831"/>
      <c r="N65" s="831"/>
      <c r="O65" s="826"/>
      <c r="P65" s="826"/>
      <c r="Q65" s="150"/>
    </row>
    <row r="66" spans="1:19" hidden="1">
      <c r="A66" s="487"/>
      <c r="B66" s="487"/>
      <c r="C66" s="487"/>
      <c r="D66" s="789"/>
      <c r="E66" s="789"/>
      <c r="F66" s="789"/>
      <c r="G66" s="789"/>
      <c r="H66" s="789"/>
      <c r="I66" s="789"/>
      <c r="J66" s="900"/>
      <c r="K66" s="789"/>
      <c r="L66" s="789"/>
      <c r="M66" s="831"/>
      <c r="N66" s="831"/>
      <c r="O66" s="826"/>
      <c r="P66" s="826"/>
      <c r="Q66" s="150"/>
    </row>
    <row r="67" spans="1:19" hidden="1">
      <c r="A67" s="771"/>
      <c r="B67" s="771"/>
      <c r="C67" s="786"/>
      <c r="D67" s="787"/>
      <c r="E67" s="787"/>
      <c r="F67" s="787"/>
      <c r="G67" s="787"/>
      <c r="H67" s="787"/>
      <c r="I67" s="787"/>
      <c r="J67" s="795"/>
      <c r="K67" s="787"/>
      <c r="L67" s="787"/>
      <c r="M67" s="826"/>
      <c r="N67" s="826"/>
      <c r="O67" s="826"/>
      <c r="P67" s="826"/>
      <c r="Q67" s="150"/>
    </row>
    <row r="68" spans="1:19" ht="16">
      <c r="A68" s="808" t="s">
        <v>1233</v>
      </c>
      <c r="B68" s="952"/>
      <c r="C68" s="953"/>
      <c r="D68" s="789"/>
      <c r="E68" s="789"/>
      <c r="F68" s="789"/>
      <c r="G68" s="789"/>
      <c r="H68" s="789"/>
      <c r="I68" s="789"/>
      <c r="J68" s="795"/>
      <c r="K68" s="789"/>
      <c r="L68" s="789"/>
      <c r="M68" s="826"/>
      <c r="N68" s="826"/>
      <c r="O68" s="826"/>
      <c r="P68" s="826"/>
      <c r="Q68" s="150"/>
    </row>
    <row r="69" spans="1:19" ht="14" hidden="1" thickBot="1">
      <c r="A69" s="1018">
        <v>1036</v>
      </c>
      <c r="B69" s="955">
        <v>5169</v>
      </c>
      <c r="C69" s="868" t="s">
        <v>596</v>
      </c>
      <c r="D69" s="1019"/>
      <c r="E69" s="1019"/>
      <c r="F69" s="1019"/>
      <c r="G69" s="1019"/>
      <c r="H69" s="1019"/>
      <c r="I69" s="1019"/>
      <c r="J69" s="1020"/>
      <c r="K69" s="1019"/>
      <c r="L69" s="1019"/>
      <c r="M69" s="871"/>
      <c r="N69" s="871"/>
      <c r="O69" s="871">
        <v>95000</v>
      </c>
      <c r="P69" s="1037">
        <v>300000</v>
      </c>
      <c r="Q69" s="1035"/>
      <c r="R69" s="1035">
        <f>SUM(P69:Q69)</f>
        <v>300000</v>
      </c>
      <c r="S69" s="1035"/>
    </row>
    <row r="70" spans="1:19" hidden="1">
      <c r="A70" s="942">
        <v>2212</v>
      </c>
      <c r="B70" s="943">
        <v>5171</v>
      </c>
      <c r="C70" s="790" t="s">
        <v>597</v>
      </c>
      <c r="D70" s="944">
        <v>100000</v>
      </c>
      <c r="E70" s="944">
        <v>850000</v>
      </c>
      <c r="F70" s="944">
        <v>48062</v>
      </c>
      <c r="G70" s="1028" t="e">
        <f>#REF!+320000-8943</f>
        <v>#REF!</v>
      </c>
      <c r="H70" s="944" t="e">
        <f>(G70+F70)</f>
        <v>#REF!</v>
      </c>
      <c r="I70" s="944">
        <v>50000</v>
      </c>
      <c r="J70" s="866">
        <v>800000</v>
      </c>
      <c r="K70" s="944">
        <v>1005157</v>
      </c>
      <c r="L70" s="944">
        <v>100000</v>
      </c>
      <c r="M70" s="855">
        <v>100000</v>
      </c>
      <c r="N70" s="855">
        <v>500000</v>
      </c>
      <c r="O70" s="855">
        <v>6500000</v>
      </c>
      <c r="P70" s="855">
        <v>12000000</v>
      </c>
      <c r="Q70" s="1038">
        <v>4000000</v>
      </c>
      <c r="R70" s="1035">
        <f>SUM(P70:Q70)</f>
        <v>16000000</v>
      </c>
      <c r="S70" s="1035"/>
    </row>
    <row r="71" spans="1:19">
      <c r="A71" s="772">
        <v>2219</v>
      </c>
      <c r="B71" s="772">
        <v>5139</v>
      </c>
      <c r="C71" s="785" t="s">
        <v>601</v>
      </c>
      <c r="D71" s="784"/>
      <c r="E71" s="784"/>
      <c r="F71" s="784"/>
      <c r="G71" s="1054"/>
      <c r="H71" s="784"/>
      <c r="I71" s="784"/>
      <c r="J71" s="803"/>
      <c r="K71" s="784"/>
      <c r="L71" s="784"/>
      <c r="M71" s="825"/>
      <c r="N71" s="825"/>
      <c r="O71" s="825"/>
      <c r="P71" s="825"/>
      <c r="Q71" s="1038"/>
      <c r="R71" s="1035"/>
      <c r="S71" s="1035">
        <v>20000</v>
      </c>
    </row>
    <row r="72" spans="1:19" hidden="1">
      <c r="A72" s="773">
        <v>2219</v>
      </c>
      <c r="B72" s="772">
        <v>5171</v>
      </c>
      <c r="C72" s="785" t="s">
        <v>599</v>
      </c>
      <c r="D72" s="784"/>
      <c r="E72" s="784">
        <v>400000</v>
      </c>
      <c r="F72" s="784"/>
      <c r="G72" s="784">
        <v>0</v>
      </c>
      <c r="H72" s="784">
        <f>G72+F72</f>
        <v>0</v>
      </c>
      <c r="I72" s="784">
        <v>50000</v>
      </c>
      <c r="J72" s="803"/>
      <c r="K72" s="784">
        <v>8803</v>
      </c>
      <c r="L72" s="784">
        <v>100000</v>
      </c>
      <c r="M72" s="825">
        <v>170000</v>
      </c>
      <c r="N72" s="825">
        <v>100000</v>
      </c>
      <c r="O72" s="825"/>
      <c r="P72" s="825"/>
      <c r="Q72" s="1036"/>
      <c r="R72" s="1035"/>
      <c r="S72" s="1035"/>
    </row>
    <row r="73" spans="1:19" hidden="1">
      <c r="A73" s="773">
        <v>2219</v>
      </c>
      <c r="B73" s="772">
        <v>6121</v>
      </c>
      <c r="C73" s="785" t="s">
        <v>604</v>
      </c>
      <c r="D73" s="784"/>
      <c r="E73" s="784"/>
      <c r="F73" s="784"/>
      <c r="G73" s="784"/>
      <c r="H73" s="784"/>
      <c r="I73" s="784"/>
      <c r="J73" s="803"/>
      <c r="K73" s="784"/>
      <c r="L73" s="784"/>
      <c r="M73" s="825"/>
      <c r="N73" s="825"/>
      <c r="O73" s="825"/>
      <c r="P73" s="825"/>
      <c r="Q73" s="1036">
        <v>15000000</v>
      </c>
      <c r="R73" s="1035">
        <f>SUM(P73:Q73)</f>
        <v>15000000</v>
      </c>
      <c r="S73" s="1035"/>
    </row>
    <row r="74" spans="1:19" hidden="1">
      <c r="A74" s="773">
        <v>2221</v>
      </c>
      <c r="B74" s="772">
        <v>5323</v>
      </c>
      <c r="C74" s="785" t="s">
        <v>600</v>
      </c>
      <c r="D74" s="784">
        <v>900000</v>
      </c>
      <c r="E74" s="784">
        <v>900000</v>
      </c>
      <c r="F74" s="784">
        <v>471613.32</v>
      </c>
      <c r="G74" s="784">
        <f t="shared" ref="G74:G117" si="13">E74-F74</f>
        <v>428386.68</v>
      </c>
      <c r="H74" s="784">
        <f t="shared" ref="H74:H136" si="14">G74+F74</f>
        <v>900000</v>
      </c>
      <c r="I74" s="784">
        <f>H74</f>
        <v>900000</v>
      </c>
      <c r="J74" s="803"/>
      <c r="K74" s="784">
        <v>794805</v>
      </c>
      <c r="L74" s="784">
        <v>900000</v>
      </c>
      <c r="M74" s="825">
        <v>900000</v>
      </c>
      <c r="N74" s="825">
        <v>900000</v>
      </c>
      <c r="O74" s="825">
        <v>900000</v>
      </c>
      <c r="P74" s="825">
        <v>900000</v>
      </c>
      <c r="Q74" s="1036"/>
      <c r="R74" s="1035">
        <f>SUM(P74:Q74)</f>
        <v>900000</v>
      </c>
      <c r="S74" s="1035"/>
    </row>
    <row r="75" spans="1:19" hidden="1">
      <c r="A75" s="773">
        <v>2223</v>
      </c>
      <c r="B75" s="772">
        <v>5139</v>
      </c>
      <c r="C75" s="785" t="s">
        <v>601</v>
      </c>
      <c r="D75" s="784"/>
      <c r="E75" s="784"/>
      <c r="F75" s="784"/>
      <c r="G75" s="784"/>
      <c r="H75" s="784"/>
      <c r="I75" s="784"/>
      <c r="J75" s="803"/>
      <c r="K75" s="784"/>
      <c r="L75" s="784"/>
      <c r="M75" s="825"/>
      <c r="N75" s="825"/>
      <c r="O75" s="825">
        <v>60000</v>
      </c>
      <c r="P75" s="825"/>
      <c r="Q75" s="1036"/>
      <c r="R75" s="1035"/>
      <c r="S75" s="1035"/>
    </row>
    <row r="76" spans="1:19" hidden="1">
      <c r="A76" s="773">
        <v>2223</v>
      </c>
      <c r="B76" s="772">
        <v>5169</v>
      </c>
      <c r="C76" s="785" t="s">
        <v>602</v>
      </c>
      <c r="D76" s="784"/>
      <c r="E76" s="784"/>
      <c r="F76" s="784"/>
      <c r="G76" s="784"/>
      <c r="H76" s="784"/>
      <c r="I76" s="784"/>
      <c r="J76" s="803"/>
      <c r="K76" s="784"/>
      <c r="L76" s="784"/>
      <c r="M76" s="825"/>
      <c r="N76" s="825"/>
      <c r="O76" s="825">
        <v>200000</v>
      </c>
      <c r="P76" s="825"/>
      <c r="Q76" s="1036"/>
      <c r="R76" s="1035"/>
      <c r="S76" s="1035"/>
    </row>
    <row r="77" spans="1:19" hidden="1">
      <c r="A77" s="773">
        <v>2223</v>
      </c>
      <c r="B77" s="772">
        <v>5171</v>
      </c>
      <c r="C77" s="785" t="s">
        <v>603</v>
      </c>
      <c r="D77" s="784">
        <v>20000</v>
      </c>
      <c r="E77" s="784">
        <v>20000</v>
      </c>
      <c r="F77" s="784"/>
      <c r="G77" s="784">
        <f t="shared" si="13"/>
        <v>20000</v>
      </c>
      <c r="H77" s="784">
        <f t="shared" si="14"/>
        <v>20000</v>
      </c>
      <c r="I77" s="784">
        <f>H77</f>
        <v>20000</v>
      </c>
      <c r="J77" s="803"/>
      <c r="K77" s="784"/>
      <c r="L77" s="784">
        <v>20000</v>
      </c>
      <c r="M77" s="825">
        <v>1600000</v>
      </c>
      <c r="N77" s="825">
        <v>20000</v>
      </c>
      <c r="O77" s="825">
        <v>600000</v>
      </c>
      <c r="P77" s="825">
        <v>50000</v>
      </c>
      <c r="Q77" s="1036"/>
      <c r="R77" s="1035">
        <f t="shared" ref="R77:R91" si="15">SUM(P77:Q77)</f>
        <v>50000</v>
      </c>
      <c r="S77" s="1035"/>
    </row>
    <row r="78" spans="1:19" hidden="1">
      <c r="A78" s="836">
        <v>2223</v>
      </c>
      <c r="B78" s="837">
        <v>6121</v>
      </c>
      <c r="C78" s="838" t="s">
        <v>604</v>
      </c>
      <c r="D78" s="839"/>
      <c r="E78" s="839"/>
      <c r="F78" s="839"/>
      <c r="G78" s="839" t="e">
        <f>#REF!</f>
        <v>#REF!</v>
      </c>
      <c r="H78" s="839" t="e">
        <f t="shared" si="14"/>
        <v>#REF!</v>
      </c>
      <c r="I78" s="839" t="e">
        <f>#REF!</f>
        <v>#REF!</v>
      </c>
      <c r="J78" s="1022"/>
      <c r="K78" s="839">
        <v>417871</v>
      </c>
      <c r="L78" s="839">
        <v>1150000</v>
      </c>
      <c r="M78" s="842">
        <v>80000</v>
      </c>
      <c r="N78" s="842">
        <f>330000+4750000+150000</f>
        <v>5230000</v>
      </c>
      <c r="O78" s="842">
        <v>3000000</v>
      </c>
      <c r="P78" s="842">
        <v>15000000</v>
      </c>
      <c r="Q78" s="1036">
        <v>-15000000</v>
      </c>
      <c r="R78" s="1035">
        <f t="shared" si="15"/>
        <v>0</v>
      </c>
      <c r="S78" s="1035"/>
    </row>
    <row r="79" spans="1:19" hidden="1">
      <c r="A79" s="773">
        <v>2310</v>
      </c>
      <c r="B79" s="772">
        <v>5139</v>
      </c>
      <c r="C79" s="785" t="s">
        <v>606</v>
      </c>
      <c r="D79" s="784">
        <v>5000</v>
      </c>
      <c r="E79" s="784">
        <v>5000</v>
      </c>
      <c r="F79" s="784">
        <v>5733</v>
      </c>
      <c r="G79" s="784">
        <v>0</v>
      </c>
      <c r="H79" s="784">
        <f t="shared" si="14"/>
        <v>5733</v>
      </c>
      <c r="I79" s="784">
        <f>H79</f>
        <v>5733</v>
      </c>
      <c r="J79" s="803"/>
      <c r="K79" s="784"/>
      <c r="L79" s="784">
        <v>2000</v>
      </c>
      <c r="M79" s="825">
        <v>67000</v>
      </c>
      <c r="N79" s="825">
        <v>50000</v>
      </c>
      <c r="O79" s="825">
        <v>20000</v>
      </c>
      <c r="P79" s="825">
        <v>50000</v>
      </c>
      <c r="Q79" s="1036"/>
      <c r="R79" s="1035">
        <f t="shared" si="15"/>
        <v>50000</v>
      </c>
      <c r="S79" s="1035"/>
    </row>
    <row r="80" spans="1:19" hidden="1">
      <c r="A80" s="773">
        <v>2321</v>
      </c>
      <c r="B80" s="772">
        <v>5169</v>
      </c>
      <c r="C80" s="785" t="s">
        <v>607</v>
      </c>
      <c r="D80" s="784">
        <v>10000</v>
      </c>
      <c r="E80" s="784">
        <v>10000</v>
      </c>
      <c r="F80" s="784"/>
      <c r="G80" s="784">
        <f t="shared" si="13"/>
        <v>10000</v>
      </c>
      <c r="H80" s="784">
        <f t="shared" si="14"/>
        <v>10000</v>
      </c>
      <c r="I80" s="784">
        <f t="shared" ref="I80:I94" si="16">H80</f>
        <v>10000</v>
      </c>
      <c r="J80" s="803"/>
      <c r="K80" s="784">
        <v>19316</v>
      </c>
      <c r="L80" s="784">
        <v>20000</v>
      </c>
      <c r="M80" s="825"/>
      <c r="N80" s="825">
        <v>20000</v>
      </c>
      <c r="O80" s="825"/>
      <c r="P80" s="825">
        <v>100000</v>
      </c>
      <c r="Q80" s="1036"/>
      <c r="R80" s="1035">
        <f t="shared" si="15"/>
        <v>100000</v>
      </c>
      <c r="S80" s="1035"/>
    </row>
    <row r="81" spans="1:19" hidden="1">
      <c r="A81" s="773">
        <v>2321</v>
      </c>
      <c r="B81" s="772">
        <v>5171</v>
      </c>
      <c r="C81" s="785" t="s">
        <v>608</v>
      </c>
      <c r="D81" s="784">
        <v>40000</v>
      </c>
      <c r="E81" s="784">
        <v>40000</v>
      </c>
      <c r="F81" s="784"/>
      <c r="G81" s="784">
        <f t="shared" si="13"/>
        <v>40000</v>
      </c>
      <c r="H81" s="784">
        <f t="shared" si="14"/>
        <v>40000</v>
      </c>
      <c r="I81" s="784">
        <f t="shared" si="16"/>
        <v>40000</v>
      </c>
      <c r="J81" s="803"/>
      <c r="K81" s="784">
        <v>14707</v>
      </c>
      <c r="L81" s="784">
        <v>40000</v>
      </c>
      <c r="M81" s="825">
        <v>40000</v>
      </c>
      <c r="N81" s="825">
        <v>500000</v>
      </c>
      <c r="O81" s="825">
        <v>10000</v>
      </c>
      <c r="P81" s="825">
        <v>800000</v>
      </c>
      <c r="Q81" s="1036"/>
      <c r="R81" s="1035">
        <f t="shared" si="15"/>
        <v>800000</v>
      </c>
      <c r="S81" s="1035"/>
    </row>
    <row r="82" spans="1:19" hidden="1">
      <c r="A82" s="773">
        <v>2329</v>
      </c>
      <c r="B82" s="772">
        <v>5011</v>
      </c>
      <c r="C82" s="785" t="s">
        <v>610</v>
      </c>
      <c r="D82" s="784">
        <v>20000</v>
      </c>
      <c r="E82" s="784">
        <v>20000</v>
      </c>
      <c r="F82" s="784">
        <v>10400</v>
      </c>
      <c r="G82" s="784">
        <f t="shared" si="13"/>
        <v>9600</v>
      </c>
      <c r="H82" s="784">
        <f t="shared" si="14"/>
        <v>20000</v>
      </c>
      <c r="I82" s="784">
        <f t="shared" si="16"/>
        <v>20000</v>
      </c>
      <c r="J82" s="803"/>
      <c r="K82" s="784">
        <v>49419</v>
      </c>
      <c r="L82" s="784">
        <v>80000</v>
      </c>
      <c r="M82" s="825">
        <v>100000</v>
      </c>
      <c r="N82" s="825">
        <v>100000</v>
      </c>
      <c r="O82" s="825">
        <v>120000</v>
      </c>
      <c r="P82" s="825">
        <v>120000</v>
      </c>
      <c r="Q82" s="1036"/>
      <c r="R82" s="1035">
        <f t="shared" si="15"/>
        <v>120000</v>
      </c>
      <c r="S82" s="1035"/>
    </row>
    <row r="83" spans="1:19" hidden="1">
      <c r="A83" s="773">
        <v>2329</v>
      </c>
      <c r="B83" s="772">
        <v>5021</v>
      </c>
      <c r="C83" s="785" t="s">
        <v>611</v>
      </c>
      <c r="D83" s="784">
        <v>30000</v>
      </c>
      <c r="E83" s="784">
        <v>30000</v>
      </c>
      <c r="F83" s="784">
        <v>30450</v>
      </c>
      <c r="G83" s="784">
        <v>0</v>
      </c>
      <c r="H83" s="784">
        <f t="shared" si="14"/>
        <v>30450</v>
      </c>
      <c r="I83" s="784">
        <f t="shared" si="16"/>
        <v>30450</v>
      </c>
      <c r="J83" s="803"/>
      <c r="K83" s="784">
        <v>45391</v>
      </c>
      <c r="L83" s="784">
        <v>60000</v>
      </c>
      <c r="M83" s="825">
        <v>50000</v>
      </c>
      <c r="N83" s="825">
        <v>50000</v>
      </c>
      <c r="O83" s="825">
        <v>60000</v>
      </c>
      <c r="P83" s="825">
        <v>60000</v>
      </c>
      <c r="Q83" s="1036"/>
      <c r="R83" s="1035">
        <f t="shared" si="15"/>
        <v>60000</v>
      </c>
      <c r="S83" s="1035"/>
    </row>
    <row r="84" spans="1:19" hidden="1">
      <c r="A84" s="773">
        <v>2329</v>
      </c>
      <c r="B84" s="772">
        <v>5031</v>
      </c>
      <c r="C84" s="785" t="s">
        <v>612</v>
      </c>
      <c r="D84" s="784">
        <v>12000</v>
      </c>
      <c r="E84" s="784">
        <v>12000</v>
      </c>
      <c r="F84" s="784">
        <v>2590</v>
      </c>
      <c r="G84" s="784">
        <f t="shared" si="13"/>
        <v>9410</v>
      </c>
      <c r="H84" s="784">
        <f t="shared" si="14"/>
        <v>12000</v>
      </c>
      <c r="I84" s="784">
        <f t="shared" si="16"/>
        <v>12000</v>
      </c>
      <c r="J84" s="803"/>
      <c r="K84" s="784">
        <v>3682</v>
      </c>
      <c r="L84" s="784">
        <v>12000</v>
      </c>
      <c r="M84" s="825">
        <v>10000</v>
      </c>
      <c r="N84" s="825">
        <v>10000</v>
      </c>
      <c r="O84" s="825">
        <v>10000</v>
      </c>
      <c r="P84" s="825">
        <v>10000</v>
      </c>
      <c r="Q84" s="1036"/>
      <c r="R84" s="1035">
        <f t="shared" si="15"/>
        <v>10000</v>
      </c>
      <c r="S84" s="1035"/>
    </row>
    <row r="85" spans="1:19" hidden="1">
      <c r="A85" s="773">
        <v>2329</v>
      </c>
      <c r="B85" s="772">
        <v>5032</v>
      </c>
      <c r="C85" s="785" t="s">
        <v>613</v>
      </c>
      <c r="D85" s="784">
        <v>8000</v>
      </c>
      <c r="E85" s="784">
        <v>8000</v>
      </c>
      <c r="F85" s="784">
        <v>936</v>
      </c>
      <c r="G85" s="784">
        <f t="shared" si="13"/>
        <v>7064</v>
      </c>
      <c r="H85" s="784">
        <f t="shared" si="14"/>
        <v>8000</v>
      </c>
      <c r="I85" s="784">
        <f t="shared" si="16"/>
        <v>8000</v>
      </c>
      <c r="J85" s="803"/>
      <c r="K85" s="784">
        <v>1337</v>
      </c>
      <c r="L85" s="784">
        <v>8000</v>
      </c>
      <c r="M85" s="825">
        <v>5000</v>
      </c>
      <c r="N85" s="825">
        <v>5000</v>
      </c>
      <c r="O85" s="825">
        <v>5000</v>
      </c>
      <c r="P85" s="825">
        <v>5000</v>
      </c>
      <c r="Q85" s="1036"/>
      <c r="R85" s="1035">
        <f t="shared" si="15"/>
        <v>5000</v>
      </c>
      <c r="S85" s="1035"/>
    </row>
    <row r="86" spans="1:19" hidden="1">
      <c r="A86" s="773">
        <v>2329</v>
      </c>
      <c r="B86" s="772">
        <v>5139</v>
      </c>
      <c r="C86" s="785" t="s">
        <v>614</v>
      </c>
      <c r="D86" s="784">
        <v>5000</v>
      </c>
      <c r="E86" s="784">
        <v>25000</v>
      </c>
      <c r="F86" s="784">
        <v>22620</v>
      </c>
      <c r="G86" s="784">
        <f t="shared" si="13"/>
        <v>2380</v>
      </c>
      <c r="H86" s="784">
        <f t="shared" si="14"/>
        <v>25000</v>
      </c>
      <c r="I86" s="784">
        <f t="shared" si="16"/>
        <v>25000</v>
      </c>
      <c r="J86" s="803"/>
      <c r="K86" s="784">
        <v>39540</v>
      </c>
      <c r="L86" s="784">
        <v>56000</v>
      </c>
      <c r="M86" s="825">
        <v>140000</v>
      </c>
      <c r="N86" s="825">
        <v>140000</v>
      </c>
      <c r="O86" s="825">
        <v>140000</v>
      </c>
      <c r="P86" s="825">
        <v>140000</v>
      </c>
      <c r="Q86" s="1036"/>
      <c r="R86" s="1035">
        <f t="shared" si="15"/>
        <v>140000</v>
      </c>
      <c r="S86" s="1035"/>
    </row>
    <row r="87" spans="1:19" hidden="1">
      <c r="A87" s="773">
        <v>2329</v>
      </c>
      <c r="B87" s="772">
        <v>5154</v>
      </c>
      <c r="C87" s="785" t="s">
        <v>615</v>
      </c>
      <c r="D87" s="784">
        <v>300000</v>
      </c>
      <c r="E87" s="784">
        <v>300000</v>
      </c>
      <c r="F87" s="784">
        <v>245523.26</v>
      </c>
      <c r="G87" s="784">
        <f t="shared" si="13"/>
        <v>54476.739999999991</v>
      </c>
      <c r="H87" s="784">
        <f t="shared" si="14"/>
        <v>300000</v>
      </c>
      <c r="I87" s="784">
        <f t="shared" si="16"/>
        <v>300000</v>
      </c>
      <c r="J87" s="803"/>
      <c r="K87" s="784">
        <v>357221</v>
      </c>
      <c r="L87" s="784">
        <v>400000</v>
      </c>
      <c r="M87" s="825">
        <v>1300000</v>
      </c>
      <c r="N87" s="825">
        <v>1400000</v>
      </c>
      <c r="O87" s="825">
        <v>1000000</v>
      </c>
      <c r="P87" s="825">
        <v>1000000</v>
      </c>
      <c r="Q87" s="1036"/>
      <c r="R87" s="1035">
        <f t="shared" si="15"/>
        <v>1000000</v>
      </c>
      <c r="S87" s="1035"/>
    </row>
    <row r="88" spans="1:19" hidden="1">
      <c r="A88" s="773">
        <v>2329</v>
      </c>
      <c r="B88" s="772">
        <v>5151</v>
      </c>
      <c r="C88" s="785" t="s">
        <v>616</v>
      </c>
      <c r="D88" s="784"/>
      <c r="E88" s="784"/>
      <c r="F88" s="784">
        <v>49320</v>
      </c>
      <c r="G88" s="784">
        <f>60000-F88</f>
        <v>10680</v>
      </c>
      <c r="H88" s="784">
        <f t="shared" si="14"/>
        <v>60000</v>
      </c>
      <c r="I88" s="784">
        <f t="shared" si="16"/>
        <v>60000</v>
      </c>
      <c r="J88" s="803"/>
      <c r="K88" s="784"/>
      <c r="L88" s="784">
        <v>10000</v>
      </c>
      <c r="M88" s="825">
        <v>10000</v>
      </c>
      <c r="N88" s="825">
        <v>10000</v>
      </c>
      <c r="O88" s="825"/>
      <c r="P88" s="825"/>
      <c r="Q88" s="1036"/>
      <c r="R88" s="1035">
        <f t="shared" si="15"/>
        <v>0</v>
      </c>
      <c r="S88" s="1035"/>
    </row>
    <row r="89" spans="1:19" hidden="1">
      <c r="A89" s="773">
        <v>2329</v>
      </c>
      <c r="B89" s="772">
        <v>5169</v>
      </c>
      <c r="C89" s="785" t="s">
        <v>617</v>
      </c>
      <c r="D89" s="784">
        <v>750000</v>
      </c>
      <c r="E89" s="784">
        <v>750000</v>
      </c>
      <c r="F89" s="784">
        <v>274259.26</v>
      </c>
      <c r="G89" s="784">
        <f t="shared" si="13"/>
        <v>475740.74</v>
      </c>
      <c r="H89" s="784">
        <f t="shared" si="14"/>
        <v>750000</v>
      </c>
      <c r="I89" s="784">
        <f t="shared" si="16"/>
        <v>750000</v>
      </c>
      <c r="J89" s="803"/>
      <c r="K89" s="784">
        <v>376997</v>
      </c>
      <c r="L89" s="784">
        <v>510000</v>
      </c>
      <c r="M89" s="825">
        <v>500000</v>
      </c>
      <c r="N89" s="825">
        <v>500000</v>
      </c>
      <c r="O89" s="825">
        <v>500000</v>
      </c>
      <c r="P89" s="825">
        <v>500000</v>
      </c>
      <c r="Q89" s="1036"/>
      <c r="R89" s="1035">
        <f t="shared" si="15"/>
        <v>500000</v>
      </c>
      <c r="S89" s="1035"/>
    </row>
    <row r="90" spans="1:19" hidden="1">
      <c r="A90" s="773">
        <v>2329</v>
      </c>
      <c r="B90" s="772">
        <v>5171</v>
      </c>
      <c r="C90" s="785" t="s">
        <v>618</v>
      </c>
      <c r="D90" s="784">
        <v>100000</v>
      </c>
      <c r="E90" s="784">
        <v>100000</v>
      </c>
      <c r="F90" s="784">
        <v>73498.52</v>
      </c>
      <c r="G90" s="784">
        <f t="shared" si="13"/>
        <v>26501.479999999996</v>
      </c>
      <c r="H90" s="784">
        <f t="shared" si="14"/>
        <v>100000</v>
      </c>
      <c r="I90" s="784">
        <f t="shared" si="16"/>
        <v>100000</v>
      </c>
      <c r="J90" s="803"/>
      <c r="K90" s="784">
        <v>144713</v>
      </c>
      <c r="L90" s="784">
        <v>150000</v>
      </c>
      <c r="M90" s="825">
        <v>220000</v>
      </c>
      <c r="N90" s="825">
        <v>200000</v>
      </c>
      <c r="O90" s="825">
        <v>350000</v>
      </c>
      <c r="P90" s="825">
        <v>350000</v>
      </c>
      <c r="Q90" s="1036"/>
      <c r="R90" s="1035">
        <f t="shared" si="15"/>
        <v>350000</v>
      </c>
      <c r="S90" s="1035"/>
    </row>
    <row r="91" spans="1:19">
      <c r="A91" s="773">
        <v>2329</v>
      </c>
      <c r="B91" s="772">
        <v>5362</v>
      </c>
      <c r="C91" s="785" t="s">
        <v>619</v>
      </c>
      <c r="D91" s="784">
        <v>30000</v>
      </c>
      <c r="E91" s="784">
        <v>30000</v>
      </c>
      <c r="F91" s="784"/>
      <c r="G91" s="784">
        <f t="shared" si="13"/>
        <v>30000</v>
      </c>
      <c r="H91" s="784">
        <f t="shared" si="14"/>
        <v>30000</v>
      </c>
      <c r="I91" s="784">
        <f t="shared" si="16"/>
        <v>30000</v>
      </c>
      <c r="J91" s="803"/>
      <c r="K91" s="784">
        <v>21725</v>
      </c>
      <c r="L91" s="784">
        <v>25000</v>
      </c>
      <c r="M91" s="825">
        <v>25000</v>
      </c>
      <c r="N91" s="825">
        <v>25000</v>
      </c>
      <c r="O91" s="825">
        <v>22000</v>
      </c>
      <c r="P91" s="825">
        <v>25000</v>
      </c>
      <c r="Q91" s="1036"/>
      <c r="R91" s="1035">
        <f t="shared" si="15"/>
        <v>25000</v>
      </c>
      <c r="S91" s="1035">
        <v>2100</v>
      </c>
    </row>
    <row r="92" spans="1:19" hidden="1">
      <c r="A92" s="836">
        <v>2329</v>
      </c>
      <c r="B92" s="837">
        <v>6121</v>
      </c>
      <c r="C92" s="838" t="s">
        <v>620</v>
      </c>
      <c r="D92" s="839"/>
      <c r="E92" s="839"/>
      <c r="F92" s="839"/>
      <c r="G92" s="839"/>
      <c r="H92" s="839"/>
      <c r="I92" s="839"/>
      <c r="J92" s="1022"/>
      <c r="K92" s="839">
        <v>613175</v>
      </c>
      <c r="L92" s="839"/>
      <c r="M92" s="842">
        <v>180000</v>
      </c>
      <c r="N92" s="842">
        <v>150000</v>
      </c>
      <c r="O92" s="842"/>
      <c r="P92" s="842"/>
      <c r="Q92" s="1036"/>
      <c r="R92" s="1035"/>
      <c r="S92" s="1035"/>
    </row>
    <row r="93" spans="1:19" s="600" customFormat="1">
      <c r="A93" s="773">
        <v>2334</v>
      </c>
      <c r="B93" s="772">
        <v>5169</v>
      </c>
      <c r="C93" s="785" t="s">
        <v>1236</v>
      </c>
      <c r="D93" s="784"/>
      <c r="E93" s="784"/>
      <c r="F93" s="784"/>
      <c r="G93" s="784"/>
      <c r="H93" s="784"/>
      <c r="I93" s="784"/>
      <c r="J93" s="803"/>
      <c r="K93" s="784"/>
      <c r="L93" s="784"/>
      <c r="M93" s="825"/>
      <c r="N93" s="825"/>
      <c r="O93" s="825"/>
      <c r="P93" s="825"/>
      <c r="Q93" s="1039"/>
      <c r="R93" s="1045"/>
      <c r="S93" s="1045">
        <v>90000</v>
      </c>
    </row>
    <row r="94" spans="1:19" hidden="1">
      <c r="A94" s="773">
        <v>2334</v>
      </c>
      <c r="B94" s="772">
        <v>5171</v>
      </c>
      <c r="C94" s="785" t="s">
        <v>621</v>
      </c>
      <c r="D94" s="784">
        <v>50000</v>
      </c>
      <c r="E94" s="784">
        <v>200000</v>
      </c>
      <c r="F94" s="784">
        <v>29597</v>
      </c>
      <c r="G94" s="784">
        <f t="shared" si="13"/>
        <v>170403</v>
      </c>
      <c r="H94" s="784">
        <f t="shared" si="14"/>
        <v>200000</v>
      </c>
      <c r="I94" s="784">
        <f t="shared" si="16"/>
        <v>200000</v>
      </c>
      <c r="J94" s="803"/>
      <c r="K94" s="784">
        <v>81053</v>
      </c>
      <c r="L94" s="784">
        <v>100000</v>
      </c>
      <c r="M94" s="825">
        <v>10000</v>
      </c>
      <c r="N94" s="825">
        <v>100000</v>
      </c>
      <c r="O94" s="825">
        <v>100000</v>
      </c>
      <c r="P94" s="825">
        <v>100000</v>
      </c>
      <c r="Q94" s="1036"/>
      <c r="R94" s="1035">
        <f>SUM(P94:Q94)</f>
        <v>100000</v>
      </c>
      <c r="S94" s="1035"/>
    </row>
    <row r="95" spans="1:19" hidden="1">
      <c r="A95" s="836">
        <v>2334</v>
      </c>
      <c r="B95" s="837">
        <v>6121</v>
      </c>
      <c r="C95" s="838" t="s">
        <v>622</v>
      </c>
      <c r="D95" s="839"/>
      <c r="E95" s="839"/>
      <c r="F95" s="839"/>
      <c r="G95" s="839" t="e">
        <f>#REF!</f>
        <v>#REF!</v>
      </c>
      <c r="H95" s="839" t="e">
        <f t="shared" si="14"/>
        <v>#REF!</v>
      </c>
      <c r="I95" s="839" t="e">
        <f>#REF!</f>
        <v>#REF!</v>
      </c>
      <c r="J95" s="1022"/>
      <c r="K95" s="839"/>
      <c r="L95" s="839">
        <v>4900000</v>
      </c>
      <c r="M95" s="842">
        <v>340000</v>
      </c>
      <c r="N95" s="842">
        <v>30000</v>
      </c>
      <c r="O95" s="842">
        <v>250000</v>
      </c>
      <c r="P95" s="842">
        <v>2500000</v>
      </c>
      <c r="Q95" s="1036"/>
      <c r="R95" s="1035">
        <f>SUM(P95:Q95)</f>
        <v>2500000</v>
      </c>
      <c r="S95" s="1035"/>
    </row>
    <row r="96" spans="1:19" hidden="1">
      <c r="A96" s="773">
        <v>3111</v>
      </c>
      <c r="B96" s="772">
        <v>5137</v>
      </c>
      <c r="C96" s="785" t="s">
        <v>624</v>
      </c>
      <c r="D96" s="784"/>
      <c r="E96" s="784">
        <v>2500000</v>
      </c>
      <c r="F96" s="784">
        <v>890909.21</v>
      </c>
      <c r="G96" s="784">
        <f t="shared" si="13"/>
        <v>1609090.79</v>
      </c>
      <c r="H96" s="784">
        <f t="shared" si="14"/>
        <v>2500000</v>
      </c>
      <c r="I96" s="784">
        <v>0</v>
      </c>
      <c r="J96" s="803"/>
      <c r="K96" s="784"/>
      <c r="L96" s="784"/>
      <c r="M96" s="825"/>
      <c r="N96" s="825"/>
      <c r="O96" s="825"/>
      <c r="P96" s="825"/>
      <c r="Q96" s="1036"/>
      <c r="R96" s="1035"/>
      <c r="S96" s="1035"/>
    </row>
    <row r="97" spans="1:19" hidden="1">
      <c r="A97" s="773">
        <v>3111</v>
      </c>
      <c r="B97" s="772">
        <v>5139</v>
      </c>
      <c r="C97" s="785" t="s">
        <v>625</v>
      </c>
      <c r="D97" s="784"/>
      <c r="E97" s="784">
        <v>50000</v>
      </c>
      <c r="F97" s="784">
        <v>232473.4</v>
      </c>
      <c r="G97" s="784">
        <f>235000-F97</f>
        <v>2526.6000000000058</v>
      </c>
      <c r="H97" s="784">
        <f t="shared" si="14"/>
        <v>235000</v>
      </c>
      <c r="I97" s="784">
        <v>0</v>
      </c>
      <c r="J97" s="803"/>
      <c r="K97" s="784"/>
      <c r="L97" s="784"/>
      <c r="M97" s="825"/>
      <c r="N97" s="825"/>
      <c r="O97" s="825"/>
      <c r="P97" s="825"/>
      <c r="Q97" s="1036"/>
      <c r="R97" s="1035"/>
      <c r="S97" s="1035"/>
    </row>
    <row r="98" spans="1:19" hidden="1">
      <c r="A98" s="773">
        <v>3111</v>
      </c>
      <c r="B98" s="772">
        <v>5153</v>
      </c>
      <c r="C98" s="785" t="s">
        <v>626</v>
      </c>
      <c r="D98" s="784"/>
      <c r="E98" s="784"/>
      <c r="F98" s="784">
        <v>16000</v>
      </c>
      <c r="G98" s="784">
        <f>20000-F98</f>
        <v>4000</v>
      </c>
      <c r="H98" s="784">
        <f t="shared" si="14"/>
        <v>20000</v>
      </c>
      <c r="I98" s="784">
        <v>0</v>
      </c>
      <c r="J98" s="803"/>
      <c r="K98" s="784"/>
      <c r="L98" s="784"/>
      <c r="M98" s="825"/>
      <c r="N98" s="825"/>
      <c r="O98" s="825"/>
      <c r="P98" s="825"/>
      <c r="Q98" s="1036"/>
      <c r="R98" s="1035"/>
      <c r="S98" s="1035"/>
    </row>
    <row r="99" spans="1:19" hidden="1">
      <c r="A99" s="773">
        <v>3111</v>
      </c>
      <c r="B99" s="772">
        <v>5169</v>
      </c>
      <c r="C99" s="785" t="s">
        <v>627</v>
      </c>
      <c r="D99" s="784"/>
      <c r="E99" s="784">
        <v>50000</v>
      </c>
      <c r="F99" s="784">
        <v>40465.4</v>
      </c>
      <c r="G99" s="784">
        <f t="shared" si="13"/>
        <v>9534.5999999999985</v>
      </c>
      <c r="H99" s="784">
        <f t="shared" si="14"/>
        <v>50000</v>
      </c>
      <c r="I99" s="784">
        <v>0</v>
      </c>
      <c r="J99" s="803"/>
      <c r="K99" s="784"/>
      <c r="L99" s="784"/>
      <c r="M99" s="825"/>
      <c r="N99" s="825"/>
      <c r="O99" s="825"/>
      <c r="P99" s="825"/>
      <c r="Q99" s="1036"/>
      <c r="R99" s="1035"/>
      <c r="S99" s="1035"/>
    </row>
    <row r="100" spans="1:19" hidden="1">
      <c r="A100" s="773">
        <v>3111</v>
      </c>
      <c r="B100" s="772">
        <v>5175</v>
      </c>
      <c r="C100" s="785" t="s">
        <v>628</v>
      </c>
      <c r="D100" s="784"/>
      <c r="E100" s="784"/>
      <c r="F100" s="784">
        <v>8959.75</v>
      </c>
      <c r="G100" s="784">
        <f>10000-F100</f>
        <v>1040.25</v>
      </c>
      <c r="H100" s="784">
        <f t="shared" si="14"/>
        <v>10000</v>
      </c>
      <c r="I100" s="784">
        <v>0</v>
      </c>
      <c r="J100" s="803"/>
      <c r="K100" s="784"/>
      <c r="L100" s="784"/>
      <c r="M100" s="825"/>
      <c r="N100" s="825"/>
      <c r="O100" s="825"/>
      <c r="P100" s="825"/>
      <c r="Q100" s="1036"/>
      <c r="R100" s="1035"/>
      <c r="S100" s="1035"/>
    </row>
    <row r="101" spans="1:19" hidden="1">
      <c r="A101" s="773">
        <v>3111</v>
      </c>
      <c r="B101" s="772">
        <v>5154</v>
      </c>
      <c r="C101" s="785" t="s">
        <v>629</v>
      </c>
      <c r="D101" s="784"/>
      <c r="E101" s="784"/>
      <c r="F101" s="784"/>
      <c r="G101" s="784"/>
      <c r="H101" s="784"/>
      <c r="I101" s="784"/>
      <c r="J101" s="809"/>
      <c r="K101" s="784">
        <v>15870</v>
      </c>
      <c r="L101" s="784"/>
      <c r="M101" s="825"/>
      <c r="N101" s="825"/>
      <c r="O101" s="825"/>
      <c r="P101" s="825"/>
      <c r="Q101" s="1036"/>
      <c r="R101" s="1035"/>
      <c r="S101" s="1035"/>
    </row>
    <row r="102" spans="1:19" hidden="1">
      <c r="A102" s="773">
        <v>3111</v>
      </c>
      <c r="B102" s="772">
        <v>5162</v>
      </c>
      <c r="C102" s="785" t="s">
        <v>630</v>
      </c>
      <c r="D102" s="784"/>
      <c r="E102" s="784"/>
      <c r="F102" s="784"/>
      <c r="G102" s="784"/>
      <c r="H102" s="784"/>
      <c r="I102" s="784"/>
      <c r="J102" s="809"/>
      <c r="K102" s="784">
        <v>11437</v>
      </c>
      <c r="L102" s="784">
        <v>30000</v>
      </c>
      <c r="M102" s="825">
        <v>40000</v>
      </c>
      <c r="N102" s="825">
        <v>40000</v>
      </c>
      <c r="O102" s="825">
        <v>40000</v>
      </c>
      <c r="P102" s="825">
        <v>40000</v>
      </c>
      <c r="Q102" s="1036"/>
      <c r="R102" s="1035">
        <f>SUM(P102:Q102)</f>
        <v>40000</v>
      </c>
      <c r="S102" s="1035"/>
    </row>
    <row r="103" spans="1:19" hidden="1">
      <c r="A103" s="773">
        <v>3111</v>
      </c>
      <c r="B103" s="772">
        <v>5331</v>
      </c>
      <c r="C103" s="785" t="s">
        <v>631</v>
      </c>
      <c r="D103" s="784"/>
      <c r="E103" s="784">
        <v>499200</v>
      </c>
      <c r="F103" s="784"/>
      <c r="G103" s="784">
        <f t="shared" si="13"/>
        <v>499200</v>
      </c>
      <c r="H103" s="784">
        <f t="shared" si="14"/>
        <v>499200</v>
      </c>
      <c r="I103" s="784">
        <f>1300*96*12</f>
        <v>1497600</v>
      </c>
      <c r="J103" s="803"/>
      <c r="K103" s="784">
        <v>1123200</v>
      </c>
      <c r="L103" s="784">
        <v>956700</v>
      </c>
      <c r="M103" s="825">
        <v>956700</v>
      </c>
      <c r="N103" s="825">
        <v>1313700</v>
      </c>
      <c r="O103" s="825">
        <v>1313700</v>
      </c>
      <c r="P103" s="825">
        <v>1474000</v>
      </c>
      <c r="Q103" s="1036"/>
      <c r="R103" s="1035">
        <f>SUM(P103:Q103)</f>
        <v>1474000</v>
      </c>
      <c r="S103" s="1035"/>
    </row>
    <row r="104" spans="1:19" hidden="1">
      <c r="A104" s="836">
        <v>3111</v>
      </c>
      <c r="B104" s="837">
        <v>6121</v>
      </c>
      <c r="C104" s="838" t="s">
        <v>632</v>
      </c>
      <c r="D104" s="839">
        <f>20000000+10000000</f>
        <v>30000000</v>
      </c>
      <c r="E104" s="839">
        <v>26500000</v>
      </c>
      <c r="F104" s="839">
        <v>24569003.579999998</v>
      </c>
      <c r="G104" s="839">
        <v>0</v>
      </c>
      <c r="H104" s="839">
        <f t="shared" si="14"/>
        <v>24569003.579999998</v>
      </c>
      <c r="I104" s="839" t="e">
        <f>#REF!</f>
        <v>#REF!</v>
      </c>
      <c r="J104" s="1023"/>
      <c r="K104" s="839"/>
      <c r="L104" s="839">
        <v>0</v>
      </c>
      <c r="M104" s="845"/>
      <c r="N104" s="845"/>
      <c r="O104" s="845"/>
      <c r="P104" s="842">
        <v>600000</v>
      </c>
      <c r="Q104" s="1036"/>
      <c r="R104" s="1035">
        <f>SUM(P104:Q104)</f>
        <v>600000</v>
      </c>
      <c r="S104" s="1035"/>
    </row>
    <row r="105" spans="1:19" hidden="1">
      <c r="A105" s="773">
        <v>3113</v>
      </c>
      <c r="B105" s="772">
        <v>5169</v>
      </c>
      <c r="C105" s="785" t="s">
        <v>1225</v>
      </c>
      <c r="D105" s="784"/>
      <c r="E105" s="784"/>
      <c r="F105" s="784"/>
      <c r="G105" s="784"/>
      <c r="H105" s="784"/>
      <c r="I105" s="784"/>
      <c r="J105" s="803"/>
      <c r="K105" s="784"/>
      <c r="L105" s="784"/>
      <c r="M105" s="825">
        <v>600000</v>
      </c>
      <c r="N105" s="825"/>
      <c r="O105" s="825">
        <v>40000</v>
      </c>
      <c r="P105" s="825">
        <v>350000</v>
      </c>
      <c r="Q105" s="1036"/>
      <c r="R105" s="1035">
        <f>SUM(P105:Q105)</f>
        <v>350000</v>
      </c>
      <c r="S105" s="1035"/>
    </row>
    <row r="106" spans="1:19" hidden="1">
      <c r="A106" s="892">
        <v>3113</v>
      </c>
      <c r="B106" s="893">
        <v>6121</v>
      </c>
      <c r="C106" s="894" t="s">
        <v>635</v>
      </c>
      <c r="D106" s="895"/>
      <c r="E106" s="895"/>
      <c r="F106" s="895"/>
      <c r="G106" s="895"/>
      <c r="H106" s="895"/>
      <c r="I106" s="895"/>
      <c r="J106" s="897"/>
      <c r="K106" s="895"/>
      <c r="L106" s="895"/>
      <c r="M106" s="898"/>
      <c r="N106" s="898">
        <v>300000</v>
      </c>
      <c r="O106" s="890"/>
      <c r="P106" s="890"/>
      <c r="Q106" s="1036"/>
      <c r="R106" s="1035"/>
      <c r="S106" s="1035"/>
    </row>
    <row r="107" spans="1:19" hidden="1">
      <c r="A107" s="836">
        <v>3113</v>
      </c>
      <c r="B107" s="837">
        <v>6351</v>
      </c>
      <c r="C107" s="838" t="s">
        <v>636</v>
      </c>
      <c r="D107" s="839">
        <v>2000000</v>
      </c>
      <c r="E107" s="839">
        <v>2000000</v>
      </c>
      <c r="F107" s="839"/>
      <c r="G107" s="839" t="e">
        <f>#REF!</f>
        <v>#REF!</v>
      </c>
      <c r="H107" s="839" t="e">
        <f t="shared" si="14"/>
        <v>#REF!</v>
      </c>
      <c r="I107" s="839" t="e">
        <f>#REF!</f>
        <v>#REF!</v>
      </c>
      <c r="J107" s="1023"/>
      <c r="K107" s="839">
        <v>60355</v>
      </c>
      <c r="L107" s="839">
        <v>600000</v>
      </c>
      <c r="M107" s="842">
        <v>1500000</v>
      </c>
      <c r="N107" s="842">
        <v>3100000</v>
      </c>
      <c r="O107" s="842">
        <v>500000</v>
      </c>
      <c r="P107" s="842">
        <v>2000000</v>
      </c>
      <c r="Q107" s="1036"/>
      <c r="R107" s="1035">
        <f t="shared" ref="R107:R112" si="17">SUM(P107:Q107)</f>
        <v>2000000</v>
      </c>
      <c r="S107" s="1035"/>
    </row>
    <row r="108" spans="1:19" hidden="1">
      <c r="A108" s="773">
        <v>3326</v>
      </c>
      <c r="B108" s="772">
        <v>5171</v>
      </c>
      <c r="C108" s="785" t="s">
        <v>638</v>
      </c>
      <c r="D108" s="784"/>
      <c r="E108" s="784"/>
      <c r="F108" s="784"/>
      <c r="G108" s="784"/>
      <c r="H108" s="784"/>
      <c r="I108" s="784"/>
      <c r="J108" s="803"/>
      <c r="K108" s="784"/>
      <c r="L108" s="784"/>
      <c r="M108" s="825"/>
      <c r="N108" s="825"/>
      <c r="O108" s="825"/>
      <c r="P108" s="825">
        <v>300000</v>
      </c>
      <c r="Q108" s="1036"/>
      <c r="R108" s="1035">
        <f t="shared" si="17"/>
        <v>300000</v>
      </c>
      <c r="S108" s="1035"/>
    </row>
    <row r="109" spans="1:19" hidden="1">
      <c r="A109" s="773">
        <v>3399</v>
      </c>
      <c r="B109" s="772">
        <v>5139</v>
      </c>
      <c r="C109" s="785" t="s">
        <v>639</v>
      </c>
      <c r="D109" s="784">
        <v>40000</v>
      </c>
      <c r="E109" s="784">
        <v>40000</v>
      </c>
      <c r="F109" s="784"/>
      <c r="G109" s="784">
        <f t="shared" si="13"/>
        <v>40000</v>
      </c>
      <c r="H109" s="784">
        <f t="shared" si="14"/>
        <v>40000</v>
      </c>
      <c r="I109" s="784">
        <f t="shared" ref="I109:I120" si="18">H109</f>
        <v>40000</v>
      </c>
      <c r="J109" s="803"/>
      <c r="K109" s="784"/>
      <c r="L109" s="784">
        <v>40000</v>
      </c>
      <c r="M109" s="825">
        <v>20000</v>
      </c>
      <c r="N109" s="825">
        <v>40000</v>
      </c>
      <c r="O109" s="825">
        <v>40000</v>
      </c>
      <c r="P109" s="825">
        <v>40000</v>
      </c>
      <c r="Q109" s="1036"/>
      <c r="R109" s="1035">
        <f t="shared" si="17"/>
        <v>40000</v>
      </c>
      <c r="S109" s="1035"/>
    </row>
    <row r="110" spans="1:19" hidden="1">
      <c r="A110" s="773">
        <v>3399</v>
      </c>
      <c r="B110" s="772">
        <v>5169</v>
      </c>
      <c r="C110" s="785" t="s">
        <v>640</v>
      </c>
      <c r="D110" s="784">
        <v>20000</v>
      </c>
      <c r="E110" s="784">
        <v>20000</v>
      </c>
      <c r="F110" s="784">
        <v>32166</v>
      </c>
      <c r="G110" s="784">
        <v>0</v>
      </c>
      <c r="H110" s="784">
        <f t="shared" si="14"/>
        <v>32166</v>
      </c>
      <c r="I110" s="784">
        <f t="shared" si="18"/>
        <v>32166</v>
      </c>
      <c r="J110" s="803"/>
      <c r="K110" s="784">
        <v>64530</v>
      </c>
      <c r="L110" s="784">
        <v>65000</v>
      </c>
      <c r="M110" s="825">
        <v>65000</v>
      </c>
      <c r="N110" s="825">
        <v>65000</v>
      </c>
      <c r="O110" s="825">
        <v>140000</v>
      </c>
      <c r="P110" s="825">
        <v>140000</v>
      </c>
      <c r="Q110" s="1036"/>
      <c r="R110" s="1035">
        <f t="shared" si="17"/>
        <v>140000</v>
      </c>
      <c r="S110" s="1035"/>
    </row>
    <row r="111" spans="1:19" hidden="1">
      <c r="A111" s="773">
        <v>3399</v>
      </c>
      <c r="B111" s="772">
        <v>5175</v>
      </c>
      <c r="C111" s="785" t="s">
        <v>641</v>
      </c>
      <c r="D111" s="784">
        <v>100000</v>
      </c>
      <c r="E111" s="784">
        <v>100000</v>
      </c>
      <c r="F111" s="784">
        <v>50556</v>
      </c>
      <c r="G111" s="784">
        <f t="shared" si="13"/>
        <v>49444</v>
      </c>
      <c r="H111" s="784">
        <f t="shared" si="14"/>
        <v>100000</v>
      </c>
      <c r="I111" s="784">
        <f t="shared" si="18"/>
        <v>100000</v>
      </c>
      <c r="J111" s="803"/>
      <c r="K111" s="784">
        <v>45610</v>
      </c>
      <c r="L111" s="784">
        <v>100000</v>
      </c>
      <c r="M111" s="825">
        <v>80000</v>
      </c>
      <c r="N111" s="825">
        <v>100000</v>
      </c>
      <c r="O111" s="825">
        <v>30000</v>
      </c>
      <c r="P111" s="825">
        <v>50000</v>
      </c>
      <c r="Q111" s="1036"/>
      <c r="R111" s="1035">
        <f t="shared" si="17"/>
        <v>50000</v>
      </c>
      <c r="S111" s="1035"/>
    </row>
    <row r="112" spans="1:19" hidden="1">
      <c r="A112" s="773">
        <v>3399</v>
      </c>
      <c r="B112" s="772">
        <v>5194</v>
      </c>
      <c r="C112" s="785" t="s">
        <v>642</v>
      </c>
      <c r="D112" s="784">
        <v>15000</v>
      </c>
      <c r="E112" s="784">
        <v>15000</v>
      </c>
      <c r="F112" s="784">
        <v>14779</v>
      </c>
      <c r="G112" s="784">
        <f t="shared" si="13"/>
        <v>221</v>
      </c>
      <c r="H112" s="784">
        <f t="shared" si="14"/>
        <v>15000</v>
      </c>
      <c r="I112" s="784">
        <f t="shared" si="18"/>
        <v>15000</v>
      </c>
      <c r="J112" s="803"/>
      <c r="K112" s="784">
        <v>20000</v>
      </c>
      <c r="L112" s="784">
        <v>20000</v>
      </c>
      <c r="M112" s="825">
        <v>70000</v>
      </c>
      <c r="N112" s="825">
        <v>40000</v>
      </c>
      <c r="O112" s="825">
        <v>40000</v>
      </c>
      <c r="P112" s="825">
        <v>40000</v>
      </c>
      <c r="Q112" s="1036"/>
      <c r="R112" s="1035">
        <f t="shared" si="17"/>
        <v>40000</v>
      </c>
      <c r="S112" s="1035"/>
    </row>
    <row r="113" spans="1:19" hidden="1">
      <c r="A113" s="773">
        <v>3421</v>
      </c>
      <c r="B113" s="772">
        <v>5139</v>
      </c>
      <c r="C113" s="785" t="s">
        <v>643</v>
      </c>
      <c r="D113" s="784"/>
      <c r="E113" s="784"/>
      <c r="F113" s="784">
        <v>890</v>
      </c>
      <c r="G113" s="784">
        <v>0</v>
      </c>
      <c r="H113" s="784">
        <f t="shared" si="14"/>
        <v>890</v>
      </c>
      <c r="I113" s="784">
        <f t="shared" si="18"/>
        <v>890</v>
      </c>
      <c r="J113" s="803"/>
      <c r="K113" s="784"/>
      <c r="L113" s="784"/>
      <c r="M113" s="825">
        <v>5000</v>
      </c>
      <c r="N113" s="825">
        <v>5000</v>
      </c>
      <c r="O113" s="825"/>
      <c r="P113" s="825"/>
      <c r="Q113" s="1036"/>
      <c r="R113" s="1035"/>
      <c r="S113" s="1035"/>
    </row>
    <row r="114" spans="1:19" hidden="1">
      <c r="A114" s="773">
        <v>3421</v>
      </c>
      <c r="B114" s="772">
        <v>5169</v>
      </c>
      <c r="C114" s="785" t="s">
        <v>644</v>
      </c>
      <c r="D114" s="784">
        <v>5000</v>
      </c>
      <c r="E114" s="784">
        <v>265000</v>
      </c>
      <c r="F114" s="784"/>
      <c r="G114" s="784">
        <v>25000</v>
      </c>
      <c r="H114" s="784">
        <f t="shared" si="14"/>
        <v>25000</v>
      </c>
      <c r="I114" s="784">
        <f t="shared" si="18"/>
        <v>25000</v>
      </c>
      <c r="J114" s="803"/>
      <c r="K114" s="784"/>
      <c r="L114" s="784">
        <v>25000</v>
      </c>
      <c r="M114" s="825">
        <v>25000</v>
      </c>
      <c r="N114" s="825">
        <v>25000</v>
      </c>
      <c r="O114" s="825">
        <v>25000</v>
      </c>
      <c r="P114" s="825">
        <v>25000</v>
      </c>
      <c r="Q114" s="1036"/>
      <c r="R114" s="1035">
        <f>SUM(P114:Q114)</f>
        <v>25000</v>
      </c>
      <c r="S114" s="1035"/>
    </row>
    <row r="115" spans="1:19" hidden="1">
      <c r="A115" s="836">
        <v>3412</v>
      </c>
      <c r="B115" s="837">
        <v>6121</v>
      </c>
      <c r="C115" s="838" t="s">
        <v>645</v>
      </c>
      <c r="D115" s="839"/>
      <c r="E115" s="839"/>
      <c r="F115" s="839"/>
      <c r="G115" s="839"/>
      <c r="H115" s="839"/>
      <c r="I115" s="839"/>
      <c r="J115" s="1022"/>
      <c r="K115" s="839"/>
      <c r="L115" s="839">
        <v>3000000</v>
      </c>
      <c r="M115" s="842"/>
      <c r="N115" s="842"/>
      <c r="O115" s="842">
        <v>450000</v>
      </c>
      <c r="P115" s="842">
        <v>10000000</v>
      </c>
      <c r="Q115" s="1036"/>
      <c r="R115" s="1035">
        <f>SUM(P115:Q115)</f>
        <v>10000000</v>
      </c>
      <c r="S115" s="1035"/>
    </row>
    <row r="116" spans="1:19" hidden="1">
      <c r="A116" s="836">
        <v>3412</v>
      </c>
      <c r="B116" s="837">
        <v>6122</v>
      </c>
      <c r="C116" s="838" t="s">
        <v>647</v>
      </c>
      <c r="D116" s="839"/>
      <c r="E116" s="839"/>
      <c r="F116" s="839"/>
      <c r="G116" s="839" t="e">
        <f>#REF!</f>
        <v>#REF!</v>
      </c>
      <c r="H116" s="839" t="e">
        <f t="shared" si="14"/>
        <v>#REF!</v>
      </c>
      <c r="I116" s="839" t="e">
        <f>#REF!</f>
        <v>#REF!</v>
      </c>
      <c r="J116" s="1022"/>
      <c r="K116" s="839"/>
      <c r="L116" s="839">
        <v>4000000</v>
      </c>
      <c r="M116" s="842">
        <v>430000</v>
      </c>
      <c r="N116" s="842">
        <v>650000</v>
      </c>
      <c r="O116" s="842">
        <v>500000</v>
      </c>
      <c r="P116" s="842">
        <v>1250000</v>
      </c>
      <c r="Q116" s="1036"/>
      <c r="R116" s="1035">
        <f>SUM(P116:Q116)</f>
        <v>1250000</v>
      </c>
      <c r="S116" s="1035"/>
    </row>
    <row r="117" spans="1:19" hidden="1">
      <c r="A117" s="773">
        <v>3613</v>
      </c>
      <c r="B117" s="772">
        <v>5171</v>
      </c>
      <c r="C117" s="785" t="s">
        <v>649</v>
      </c>
      <c r="D117" s="784">
        <v>10000</v>
      </c>
      <c r="E117" s="784">
        <v>400000</v>
      </c>
      <c r="F117" s="784">
        <v>229711</v>
      </c>
      <c r="G117" s="784">
        <f t="shared" si="13"/>
        <v>170289</v>
      </c>
      <c r="H117" s="784">
        <f t="shared" si="14"/>
        <v>400000</v>
      </c>
      <c r="I117" s="784">
        <f t="shared" si="18"/>
        <v>400000</v>
      </c>
      <c r="J117" s="803"/>
      <c r="K117" s="784">
        <v>236110</v>
      </c>
      <c r="L117" s="784">
        <v>200000</v>
      </c>
      <c r="M117" s="825"/>
      <c r="N117" s="825">
        <v>150000</v>
      </c>
      <c r="O117" s="825"/>
      <c r="P117" s="825"/>
      <c r="Q117" s="1036"/>
      <c r="R117" s="1035"/>
      <c r="S117" s="1035"/>
    </row>
    <row r="118" spans="1:19" hidden="1">
      <c r="A118" s="836">
        <v>3613</v>
      </c>
      <c r="B118" s="837">
        <v>6121</v>
      </c>
      <c r="C118" s="838" t="s">
        <v>650</v>
      </c>
      <c r="D118" s="839"/>
      <c r="E118" s="839"/>
      <c r="F118" s="839"/>
      <c r="G118" s="839"/>
      <c r="H118" s="839"/>
      <c r="I118" s="839"/>
      <c r="J118" s="1022"/>
      <c r="K118" s="839"/>
      <c r="L118" s="839"/>
      <c r="M118" s="842"/>
      <c r="N118" s="842"/>
      <c r="O118" s="842"/>
      <c r="P118" s="842">
        <v>4000000</v>
      </c>
      <c r="Q118" s="1036">
        <v>1000000</v>
      </c>
      <c r="R118" s="1035">
        <f t="shared" ref="R118:R150" si="19">SUM(P118:Q118)</f>
        <v>5000000</v>
      </c>
      <c r="S118" s="1035"/>
    </row>
    <row r="119" spans="1:19" hidden="1">
      <c r="A119" s="773">
        <v>3631</v>
      </c>
      <c r="B119" s="772">
        <v>5154</v>
      </c>
      <c r="C119" s="785" t="s">
        <v>651</v>
      </c>
      <c r="D119" s="784">
        <v>350000</v>
      </c>
      <c r="E119" s="784">
        <v>350000</v>
      </c>
      <c r="F119" s="784">
        <v>389002</v>
      </c>
      <c r="G119" s="784">
        <v>0</v>
      </c>
      <c r="H119" s="784">
        <f t="shared" si="14"/>
        <v>389002</v>
      </c>
      <c r="I119" s="784">
        <f t="shared" si="18"/>
        <v>389002</v>
      </c>
      <c r="J119" s="803"/>
      <c r="K119" s="784">
        <v>392293</v>
      </c>
      <c r="L119" s="784">
        <v>450000</v>
      </c>
      <c r="M119" s="825">
        <v>600000</v>
      </c>
      <c r="N119" s="825">
        <v>650000</v>
      </c>
      <c r="O119" s="825">
        <v>600000</v>
      </c>
      <c r="P119" s="825">
        <v>1000000</v>
      </c>
      <c r="Q119" s="1036"/>
      <c r="R119" s="1035">
        <f t="shared" si="19"/>
        <v>1000000</v>
      </c>
      <c r="S119" s="1035"/>
    </row>
    <row r="120" spans="1:19" hidden="1">
      <c r="A120" s="773">
        <v>3631</v>
      </c>
      <c r="B120" s="772">
        <v>5171</v>
      </c>
      <c r="C120" s="785" t="s">
        <v>652</v>
      </c>
      <c r="D120" s="784">
        <v>200000</v>
      </c>
      <c r="E120" s="784">
        <v>200000</v>
      </c>
      <c r="F120" s="784">
        <v>121840</v>
      </c>
      <c r="G120" s="784">
        <f t="shared" ref="G120:G153" si="20">E120-F120</f>
        <v>78160</v>
      </c>
      <c r="H120" s="784">
        <f t="shared" si="14"/>
        <v>200000</v>
      </c>
      <c r="I120" s="784">
        <f t="shared" si="18"/>
        <v>200000</v>
      </c>
      <c r="J120" s="803"/>
      <c r="K120" s="784">
        <v>200800</v>
      </c>
      <c r="L120" s="784">
        <v>230000</v>
      </c>
      <c r="M120" s="825">
        <v>200000</v>
      </c>
      <c r="N120" s="825">
        <v>200000</v>
      </c>
      <c r="O120" s="825">
        <v>250000</v>
      </c>
      <c r="P120" s="825">
        <v>2000000</v>
      </c>
      <c r="Q120" s="1036"/>
      <c r="R120" s="1035">
        <f t="shared" si="19"/>
        <v>2000000</v>
      </c>
      <c r="S120" s="1035"/>
    </row>
    <row r="121" spans="1:19" hidden="1">
      <c r="A121" s="836">
        <v>3631</v>
      </c>
      <c r="B121" s="837">
        <v>6121</v>
      </c>
      <c r="C121" s="838" t="s">
        <v>654</v>
      </c>
      <c r="D121" s="839">
        <v>300000</v>
      </c>
      <c r="E121" s="839">
        <v>300000</v>
      </c>
      <c r="F121" s="839"/>
      <c r="G121" s="839">
        <v>0</v>
      </c>
      <c r="H121" s="839">
        <f t="shared" si="14"/>
        <v>0</v>
      </c>
      <c r="I121" s="839" t="e">
        <f>#REF!</f>
        <v>#REF!</v>
      </c>
      <c r="J121" s="1022"/>
      <c r="K121" s="839">
        <v>1236834</v>
      </c>
      <c r="L121" s="839">
        <v>0</v>
      </c>
      <c r="M121" s="845"/>
      <c r="N121" s="842">
        <v>5600000</v>
      </c>
      <c r="O121" s="845"/>
      <c r="P121" s="842">
        <v>5600000</v>
      </c>
      <c r="Q121" s="1036"/>
      <c r="R121" s="1035">
        <f t="shared" si="19"/>
        <v>5600000</v>
      </c>
      <c r="S121" s="1035"/>
    </row>
    <row r="122" spans="1:19" hidden="1">
      <c r="A122" s="773">
        <v>3635</v>
      </c>
      <c r="B122" s="772">
        <v>5169</v>
      </c>
      <c r="C122" s="785" t="s">
        <v>656</v>
      </c>
      <c r="D122" s="784"/>
      <c r="E122" s="784">
        <v>120000</v>
      </c>
      <c r="F122" s="784">
        <v>115705</v>
      </c>
      <c r="G122" s="784">
        <f t="shared" si="20"/>
        <v>4295</v>
      </c>
      <c r="H122" s="784">
        <f t="shared" si="14"/>
        <v>120000</v>
      </c>
      <c r="I122" s="784">
        <f>H122</f>
        <v>120000</v>
      </c>
      <c r="J122" s="803"/>
      <c r="K122" s="784">
        <v>148830</v>
      </c>
      <c r="L122" s="784">
        <v>120000</v>
      </c>
      <c r="M122" s="825">
        <v>50000</v>
      </c>
      <c r="N122" s="825">
        <v>50000</v>
      </c>
      <c r="O122" s="825"/>
      <c r="P122" s="825">
        <v>300000</v>
      </c>
      <c r="Q122" s="1036"/>
      <c r="R122" s="1035">
        <f t="shared" si="19"/>
        <v>300000</v>
      </c>
      <c r="S122" s="1035"/>
    </row>
    <row r="123" spans="1:19" hidden="1">
      <c r="A123" s="773">
        <v>3639</v>
      </c>
      <c r="B123" s="772">
        <v>5169</v>
      </c>
      <c r="C123" s="785" t="s">
        <v>657</v>
      </c>
      <c r="D123" s="784">
        <v>50000</v>
      </c>
      <c r="E123" s="784">
        <v>1316000</v>
      </c>
      <c r="F123" s="784">
        <v>256950</v>
      </c>
      <c r="G123" s="784">
        <f t="shared" si="20"/>
        <v>1059050</v>
      </c>
      <c r="H123" s="784">
        <f t="shared" si="14"/>
        <v>1316000</v>
      </c>
      <c r="I123" s="784">
        <f>H123-700000</f>
        <v>616000</v>
      </c>
      <c r="J123" s="1024"/>
      <c r="K123" s="784">
        <v>72480</v>
      </c>
      <c r="L123" s="784">
        <v>200000</v>
      </c>
      <c r="M123" s="825">
        <v>450000</v>
      </c>
      <c r="N123" s="825">
        <v>200000</v>
      </c>
      <c r="O123" s="825">
        <v>250000</v>
      </c>
      <c r="P123" s="825">
        <v>250000</v>
      </c>
      <c r="Q123" s="1036"/>
      <c r="R123" s="1035">
        <f t="shared" si="19"/>
        <v>250000</v>
      </c>
      <c r="S123" s="1035"/>
    </row>
    <row r="124" spans="1:19" hidden="1">
      <c r="A124" s="836">
        <v>3639</v>
      </c>
      <c r="B124" s="837">
        <v>6122</v>
      </c>
      <c r="C124" s="838" t="s">
        <v>658</v>
      </c>
      <c r="D124" s="839"/>
      <c r="E124" s="839"/>
      <c r="F124" s="839"/>
      <c r="G124" s="839"/>
      <c r="H124" s="839"/>
      <c r="I124" s="839"/>
      <c r="J124" s="1022"/>
      <c r="K124" s="839"/>
      <c r="L124" s="839"/>
      <c r="M124" s="842"/>
      <c r="N124" s="842"/>
      <c r="O124" s="842"/>
      <c r="P124" s="842">
        <v>200000</v>
      </c>
      <c r="Q124" s="1036"/>
      <c r="R124" s="1035">
        <f t="shared" si="19"/>
        <v>200000</v>
      </c>
      <c r="S124" s="1035"/>
    </row>
    <row r="125" spans="1:19" hidden="1">
      <c r="A125" s="836">
        <v>3639</v>
      </c>
      <c r="B125" s="837">
        <v>6121</v>
      </c>
      <c r="C125" s="838" t="s">
        <v>660</v>
      </c>
      <c r="D125" s="839"/>
      <c r="E125" s="839"/>
      <c r="F125" s="839"/>
      <c r="G125" s="839" t="e">
        <f>#REF!</f>
        <v>#REF!</v>
      </c>
      <c r="H125" s="839" t="e">
        <f t="shared" si="14"/>
        <v>#REF!</v>
      </c>
      <c r="I125" s="839"/>
      <c r="J125" s="1023"/>
      <c r="K125" s="839"/>
      <c r="L125" s="1025" t="e">
        <f>#REF!</f>
        <v>#REF!</v>
      </c>
      <c r="M125" s="845"/>
      <c r="N125" s="845"/>
      <c r="O125" s="842">
        <v>105000</v>
      </c>
      <c r="P125" s="842">
        <v>6000000</v>
      </c>
      <c r="Q125" s="1036"/>
      <c r="R125" s="1035">
        <f t="shared" si="19"/>
        <v>6000000</v>
      </c>
      <c r="S125" s="1035"/>
    </row>
    <row r="126" spans="1:19" hidden="1">
      <c r="A126" s="836">
        <v>3639</v>
      </c>
      <c r="B126" s="837">
        <v>6122</v>
      </c>
      <c r="C126" s="838" t="s">
        <v>1231</v>
      </c>
      <c r="D126" s="839"/>
      <c r="E126" s="839"/>
      <c r="F126" s="839"/>
      <c r="G126" s="839"/>
      <c r="H126" s="839"/>
      <c r="I126" s="839"/>
      <c r="J126" s="1023"/>
      <c r="K126" s="839"/>
      <c r="L126" s="1025"/>
      <c r="M126" s="845"/>
      <c r="N126" s="845"/>
      <c r="O126" s="842"/>
      <c r="P126" s="842"/>
      <c r="Q126" s="1036">
        <v>200000</v>
      </c>
      <c r="R126" s="1035">
        <f t="shared" si="19"/>
        <v>200000</v>
      </c>
      <c r="S126" s="1035"/>
    </row>
    <row r="127" spans="1:19">
      <c r="A127" s="836">
        <v>3639</v>
      </c>
      <c r="B127" s="837">
        <v>6130</v>
      </c>
      <c r="C127" s="838" t="s">
        <v>661</v>
      </c>
      <c r="D127" s="839"/>
      <c r="E127" s="839"/>
      <c r="F127" s="839"/>
      <c r="G127" s="839"/>
      <c r="H127" s="839"/>
      <c r="I127" s="839"/>
      <c r="J127" s="1023"/>
      <c r="K127" s="839">
        <v>1010000</v>
      </c>
      <c r="L127" s="839"/>
      <c r="M127" s="845"/>
      <c r="N127" s="842">
        <v>2000000</v>
      </c>
      <c r="O127" s="842">
        <v>2510000</v>
      </c>
      <c r="P127" s="842">
        <v>10000000</v>
      </c>
      <c r="Q127" s="1036">
        <v>9942000</v>
      </c>
      <c r="R127" s="1035">
        <f t="shared" si="19"/>
        <v>19942000</v>
      </c>
      <c r="S127" s="1035">
        <v>10000</v>
      </c>
    </row>
    <row r="128" spans="1:19" hidden="1">
      <c r="A128" s="773">
        <v>3721</v>
      </c>
      <c r="B128" s="772">
        <v>5169</v>
      </c>
      <c r="C128" s="785" t="s">
        <v>663</v>
      </c>
      <c r="D128" s="784"/>
      <c r="E128" s="784"/>
      <c r="F128" s="784"/>
      <c r="G128" s="784"/>
      <c r="H128" s="784"/>
      <c r="I128" s="784"/>
      <c r="J128" s="803"/>
      <c r="K128" s="784"/>
      <c r="L128" s="784"/>
      <c r="M128" s="825">
        <v>20000</v>
      </c>
      <c r="N128" s="825">
        <v>20000</v>
      </c>
      <c r="O128" s="825">
        <v>40000</v>
      </c>
      <c r="P128" s="825">
        <v>50000</v>
      </c>
      <c r="Q128" s="1036"/>
      <c r="R128" s="1035">
        <f t="shared" si="19"/>
        <v>50000</v>
      </c>
      <c r="S128" s="1035"/>
    </row>
    <row r="129" spans="1:19" hidden="1">
      <c r="A129" s="773">
        <v>3722</v>
      </c>
      <c r="B129" s="772">
        <v>5169</v>
      </c>
      <c r="C129" s="785" t="s">
        <v>664</v>
      </c>
      <c r="D129" s="784">
        <v>1000000</v>
      </c>
      <c r="E129" s="784">
        <v>1000000</v>
      </c>
      <c r="F129" s="784">
        <v>841076.69</v>
      </c>
      <c r="G129" s="784">
        <f t="shared" si="20"/>
        <v>158923.31000000006</v>
      </c>
      <c r="H129" s="784">
        <f t="shared" si="14"/>
        <v>1000000</v>
      </c>
      <c r="I129" s="784">
        <f>H129+200000</f>
        <v>1200000</v>
      </c>
      <c r="J129" s="803"/>
      <c r="K129" s="784">
        <v>869397</v>
      </c>
      <c r="L129" s="784">
        <v>1320000</v>
      </c>
      <c r="M129" s="825">
        <v>1300000</v>
      </c>
      <c r="N129" s="825">
        <v>1400000</v>
      </c>
      <c r="O129" s="825">
        <v>1700000</v>
      </c>
      <c r="P129" s="825">
        <v>2300000</v>
      </c>
      <c r="Q129" s="1036"/>
      <c r="R129" s="1035">
        <f t="shared" si="19"/>
        <v>2300000</v>
      </c>
      <c r="S129" s="1035"/>
    </row>
    <row r="130" spans="1:19" hidden="1">
      <c r="A130" s="773">
        <v>3725</v>
      </c>
      <c r="B130" s="772">
        <v>5169</v>
      </c>
      <c r="C130" s="785" t="s">
        <v>665</v>
      </c>
      <c r="D130" s="784">
        <v>750000</v>
      </c>
      <c r="E130" s="784">
        <v>750000</v>
      </c>
      <c r="F130" s="784">
        <v>480203.2</v>
      </c>
      <c r="G130" s="784">
        <f t="shared" si="20"/>
        <v>269796.8</v>
      </c>
      <c r="H130" s="784">
        <f t="shared" si="14"/>
        <v>750000</v>
      </c>
      <c r="I130" s="784">
        <f>H130+100000</f>
        <v>850000</v>
      </c>
      <c r="J130" s="803"/>
      <c r="K130" s="784">
        <v>625633</v>
      </c>
      <c r="L130" s="784">
        <v>935000</v>
      </c>
      <c r="M130" s="825">
        <v>900000</v>
      </c>
      <c r="N130" s="825">
        <v>1100000</v>
      </c>
      <c r="O130" s="825">
        <v>1100000</v>
      </c>
      <c r="P130" s="825">
        <v>1500000</v>
      </c>
      <c r="Q130" s="1036"/>
      <c r="R130" s="1035">
        <f t="shared" si="19"/>
        <v>1500000</v>
      </c>
      <c r="S130" s="1035"/>
    </row>
    <row r="131" spans="1:19" hidden="1">
      <c r="A131" s="773">
        <v>3726</v>
      </c>
      <c r="B131" s="772">
        <v>5169</v>
      </c>
      <c r="C131" s="785" t="s">
        <v>666</v>
      </c>
      <c r="D131" s="784">
        <v>260000</v>
      </c>
      <c r="E131" s="784">
        <v>260000</v>
      </c>
      <c r="F131" s="784">
        <v>88985.3</v>
      </c>
      <c r="G131" s="784">
        <f t="shared" si="20"/>
        <v>171014.7</v>
      </c>
      <c r="H131" s="784">
        <f t="shared" si="14"/>
        <v>260000</v>
      </c>
      <c r="I131" s="784">
        <f t="shared" ref="I131:I136" si="21">H131</f>
        <v>260000</v>
      </c>
      <c r="J131" s="803"/>
      <c r="K131" s="784">
        <v>169942</v>
      </c>
      <c r="L131" s="784">
        <v>260000</v>
      </c>
      <c r="M131" s="825">
        <v>260000</v>
      </c>
      <c r="N131" s="825">
        <v>330000</v>
      </c>
      <c r="O131" s="825">
        <v>400000</v>
      </c>
      <c r="P131" s="825">
        <v>500000</v>
      </c>
      <c r="Q131" s="1036"/>
      <c r="R131" s="1035">
        <f t="shared" si="19"/>
        <v>500000</v>
      </c>
      <c r="S131" s="1035"/>
    </row>
    <row r="132" spans="1:19" hidden="1">
      <c r="A132" s="773">
        <v>3729</v>
      </c>
      <c r="B132" s="772">
        <v>5169</v>
      </c>
      <c r="C132" s="785" t="s">
        <v>667</v>
      </c>
      <c r="D132" s="784">
        <v>90000</v>
      </c>
      <c r="E132" s="784">
        <v>90000</v>
      </c>
      <c r="F132" s="784">
        <v>64725.53</v>
      </c>
      <c r="G132" s="784">
        <f t="shared" si="20"/>
        <v>25274.47</v>
      </c>
      <c r="H132" s="784">
        <f t="shared" si="14"/>
        <v>90000</v>
      </c>
      <c r="I132" s="784">
        <f t="shared" si="21"/>
        <v>90000</v>
      </c>
      <c r="J132" s="803"/>
      <c r="K132" s="784">
        <v>79582</v>
      </c>
      <c r="L132" s="784">
        <v>120000</v>
      </c>
      <c r="M132" s="825">
        <v>80000</v>
      </c>
      <c r="N132" s="825">
        <v>130000</v>
      </c>
      <c r="O132" s="825">
        <v>130000</v>
      </c>
      <c r="P132" s="825">
        <v>150000</v>
      </c>
      <c r="Q132" s="1036"/>
      <c r="R132" s="1035">
        <f t="shared" si="19"/>
        <v>150000</v>
      </c>
      <c r="S132" s="1035"/>
    </row>
    <row r="133" spans="1:19" hidden="1">
      <c r="A133" s="773">
        <v>3745</v>
      </c>
      <c r="B133" s="772">
        <v>5137</v>
      </c>
      <c r="C133" s="785" t="s">
        <v>668</v>
      </c>
      <c r="D133" s="784"/>
      <c r="E133" s="784"/>
      <c r="F133" s="784">
        <v>35398</v>
      </c>
      <c r="G133" s="784">
        <v>0</v>
      </c>
      <c r="H133" s="784">
        <f t="shared" si="14"/>
        <v>35398</v>
      </c>
      <c r="I133" s="784">
        <f t="shared" si="21"/>
        <v>35398</v>
      </c>
      <c r="J133" s="803"/>
      <c r="K133" s="784">
        <v>39188</v>
      </c>
      <c r="L133" s="784"/>
      <c r="M133" s="825"/>
      <c r="N133" s="825"/>
      <c r="O133" s="825">
        <v>101000</v>
      </c>
      <c r="P133" s="825">
        <v>150000</v>
      </c>
      <c r="Q133" s="1036"/>
      <c r="R133" s="1035">
        <f t="shared" si="19"/>
        <v>150000</v>
      </c>
      <c r="S133" s="1035"/>
    </row>
    <row r="134" spans="1:19" hidden="1">
      <c r="A134" s="773">
        <v>3745</v>
      </c>
      <c r="B134" s="772">
        <v>5139</v>
      </c>
      <c r="C134" s="785" t="s">
        <v>669</v>
      </c>
      <c r="D134" s="784">
        <v>50000</v>
      </c>
      <c r="E134" s="784">
        <v>50000</v>
      </c>
      <c r="F134" s="784">
        <v>82029.990000000005</v>
      </c>
      <c r="G134" s="784">
        <v>0</v>
      </c>
      <c r="H134" s="784">
        <f t="shared" si="14"/>
        <v>82029.990000000005</v>
      </c>
      <c r="I134" s="784">
        <f t="shared" si="21"/>
        <v>82029.990000000005</v>
      </c>
      <c r="J134" s="803"/>
      <c r="K134" s="784">
        <v>48372</v>
      </c>
      <c r="L134" s="784">
        <v>80000</v>
      </c>
      <c r="M134" s="825">
        <v>30000</v>
      </c>
      <c r="N134" s="825">
        <v>50000</v>
      </c>
      <c r="O134" s="825">
        <v>70000</v>
      </c>
      <c r="P134" s="825">
        <v>80000</v>
      </c>
      <c r="Q134" s="1036"/>
      <c r="R134" s="1035">
        <f t="shared" si="19"/>
        <v>80000</v>
      </c>
      <c r="S134" s="1035"/>
    </row>
    <row r="135" spans="1:19" hidden="1">
      <c r="A135" s="773">
        <v>3745</v>
      </c>
      <c r="B135" s="772">
        <v>5156</v>
      </c>
      <c r="C135" s="785" t="s">
        <v>670</v>
      </c>
      <c r="D135" s="784">
        <v>50000</v>
      </c>
      <c r="E135" s="784">
        <v>50000</v>
      </c>
      <c r="F135" s="784">
        <v>36848</v>
      </c>
      <c r="G135" s="784">
        <f t="shared" si="20"/>
        <v>13152</v>
      </c>
      <c r="H135" s="784">
        <f t="shared" si="14"/>
        <v>50000</v>
      </c>
      <c r="I135" s="784">
        <f t="shared" si="21"/>
        <v>50000</v>
      </c>
      <c r="J135" s="803"/>
      <c r="K135" s="784">
        <v>45873</v>
      </c>
      <c r="L135" s="784">
        <v>50000</v>
      </c>
      <c r="M135" s="825">
        <v>90000</v>
      </c>
      <c r="N135" s="825">
        <v>90000</v>
      </c>
      <c r="O135" s="825">
        <v>90000</v>
      </c>
      <c r="P135" s="825">
        <v>90000</v>
      </c>
      <c r="Q135" s="1036"/>
      <c r="R135" s="1035">
        <f t="shared" si="19"/>
        <v>90000</v>
      </c>
      <c r="S135" s="1035"/>
    </row>
    <row r="136" spans="1:19" hidden="1">
      <c r="A136" s="773">
        <v>3745</v>
      </c>
      <c r="B136" s="772">
        <v>5169</v>
      </c>
      <c r="C136" s="785" t="s">
        <v>648</v>
      </c>
      <c r="D136" s="784"/>
      <c r="E136" s="784">
        <v>130000</v>
      </c>
      <c r="F136" s="784">
        <v>900</v>
      </c>
      <c r="G136" s="784">
        <f t="shared" si="20"/>
        <v>129100</v>
      </c>
      <c r="H136" s="784">
        <f t="shared" si="14"/>
        <v>130000</v>
      </c>
      <c r="I136" s="784">
        <f t="shared" si="21"/>
        <v>130000</v>
      </c>
      <c r="J136" s="803"/>
      <c r="K136" s="784">
        <v>189196</v>
      </c>
      <c r="L136" s="784"/>
      <c r="M136" s="825"/>
      <c r="N136" s="825">
        <v>900000</v>
      </c>
      <c r="O136" s="825">
        <v>400000</v>
      </c>
      <c r="P136" s="825">
        <v>500000</v>
      </c>
      <c r="Q136" s="1036"/>
      <c r="R136" s="1035">
        <f t="shared" si="19"/>
        <v>500000</v>
      </c>
      <c r="S136" s="1035"/>
    </row>
    <row r="137" spans="1:19" hidden="1">
      <c r="A137" s="773">
        <v>3745</v>
      </c>
      <c r="B137" s="799">
        <v>5171</v>
      </c>
      <c r="C137" s="785" t="s">
        <v>671</v>
      </c>
      <c r="D137" s="784"/>
      <c r="E137" s="784"/>
      <c r="F137" s="784"/>
      <c r="G137" s="784" t="e">
        <f>#REF!</f>
        <v>#REF!</v>
      </c>
      <c r="H137" s="784" t="e">
        <f>G137+F137</f>
        <v>#REF!</v>
      </c>
      <c r="I137" s="784" t="e">
        <f>#REF!</f>
        <v>#REF!</v>
      </c>
      <c r="J137" s="803"/>
      <c r="K137" s="784"/>
      <c r="L137" s="784" t="e">
        <f>#REF!</f>
        <v>#REF!</v>
      </c>
      <c r="M137" s="825"/>
      <c r="N137" s="825">
        <v>765000</v>
      </c>
      <c r="O137" s="825">
        <v>500000</v>
      </c>
      <c r="P137" s="825">
        <v>700000</v>
      </c>
      <c r="Q137" s="1036"/>
      <c r="R137" s="1035">
        <f t="shared" si="19"/>
        <v>700000</v>
      </c>
      <c r="S137" s="1035"/>
    </row>
    <row r="138" spans="1:19" hidden="1">
      <c r="A138" s="836">
        <v>3745</v>
      </c>
      <c r="B138" s="837">
        <v>6121</v>
      </c>
      <c r="C138" s="838" t="s">
        <v>672</v>
      </c>
      <c r="D138" s="839">
        <v>50000</v>
      </c>
      <c r="E138" s="839">
        <v>50000</v>
      </c>
      <c r="F138" s="839"/>
      <c r="G138" s="839" t="e">
        <f>#REF!</f>
        <v>#REF!</v>
      </c>
      <c r="H138" s="839" t="e">
        <f t="shared" ref="H138:H188" si="22">G138+F138</f>
        <v>#REF!</v>
      </c>
      <c r="I138" s="839" t="e">
        <f>#REF!</f>
        <v>#REF!</v>
      </c>
      <c r="J138" s="1026">
        <v>-2000000</v>
      </c>
      <c r="K138" s="839"/>
      <c r="L138" s="839">
        <v>1111000</v>
      </c>
      <c r="M138" s="845"/>
      <c r="N138" s="845"/>
      <c r="O138" s="845"/>
      <c r="P138" s="842">
        <v>1080000</v>
      </c>
      <c r="Q138" s="1036"/>
      <c r="R138" s="1035">
        <f t="shared" si="19"/>
        <v>1080000</v>
      </c>
      <c r="S138" s="1035"/>
    </row>
    <row r="139" spans="1:19" hidden="1">
      <c r="A139" s="836">
        <v>3745</v>
      </c>
      <c r="B139" s="837">
        <v>6122</v>
      </c>
      <c r="C139" s="838" t="s">
        <v>674</v>
      </c>
      <c r="D139" s="839">
        <v>600000</v>
      </c>
      <c r="E139" s="839">
        <v>300000</v>
      </c>
      <c r="F139" s="839"/>
      <c r="G139" s="839" t="e">
        <f>#REF!</f>
        <v>#REF!</v>
      </c>
      <c r="H139" s="839" t="e">
        <f t="shared" si="22"/>
        <v>#REF!</v>
      </c>
      <c r="I139" s="839" t="e">
        <f>#REF!</f>
        <v>#REF!</v>
      </c>
      <c r="J139" s="1022"/>
      <c r="K139" s="839"/>
      <c r="L139" s="839"/>
      <c r="M139" s="845"/>
      <c r="N139" s="845"/>
      <c r="O139" s="845"/>
      <c r="P139" s="1027">
        <v>250000</v>
      </c>
      <c r="Q139" s="1036"/>
      <c r="R139" s="1035">
        <f t="shared" si="19"/>
        <v>250000</v>
      </c>
      <c r="S139" s="1035"/>
    </row>
    <row r="140" spans="1:19" hidden="1">
      <c r="A140" s="773">
        <v>4349</v>
      </c>
      <c r="B140" s="772">
        <v>5169</v>
      </c>
      <c r="C140" s="785" t="s">
        <v>1214</v>
      </c>
      <c r="D140" s="784"/>
      <c r="E140" s="784"/>
      <c r="F140" s="784"/>
      <c r="G140" s="784"/>
      <c r="H140" s="784"/>
      <c r="I140" s="784"/>
      <c r="J140" s="803"/>
      <c r="K140" s="784"/>
      <c r="L140" s="784"/>
      <c r="M140" s="825"/>
      <c r="N140" s="825"/>
      <c r="O140" s="825">
        <v>100000</v>
      </c>
      <c r="P140" s="825">
        <v>100000</v>
      </c>
      <c r="Q140" s="1036"/>
      <c r="R140" s="1035">
        <f t="shared" si="19"/>
        <v>100000</v>
      </c>
      <c r="S140" s="1035"/>
    </row>
    <row r="141" spans="1:19" hidden="1">
      <c r="A141" s="773">
        <v>5299</v>
      </c>
      <c r="B141" s="772">
        <v>5139</v>
      </c>
      <c r="C141" s="785" t="s">
        <v>643</v>
      </c>
      <c r="D141" s="784"/>
      <c r="E141" s="784">
        <v>20000</v>
      </c>
      <c r="F141" s="784">
        <v>6670</v>
      </c>
      <c r="G141" s="784">
        <f t="shared" si="20"/>
        <v>13330</v>
      </c>
      <c r="H141" s="784">
        <f t="shared" si="22"/>
        <v>20000</v>
      </c>
      <c r="I141" s="784">
        <f t="shared" ref="I141:I147" si="23">H141</f>
        <v>20000</v>
      </c>
      <c r="J141" s="803"/>
      <c r="K141" s="784">
        <v>8409</v>
      </c>
      <c r="L141" s="784">
        <v>10000</v>
      </c>
      <c r="M141" s="825">
        <v>10000</v>
      </c>
      <c r="N141" s="825">
        <v>10000</v>
      </c>
      <c r="O141" s="825"/>
      <c r="P141" s="825">
        <v>10000</v>
      </c>
      <c r="Q141" s="1036"/>
      <c r="R141" s="1035">
        <f t="shared" si="19"/>
        <v>10000</v>
      </c>
      <c r="S141" s="1035"/>
    </row>
    <row r="142" spans="1:19" hidden="1">
      <c r="A142" s="773">
        <v>5512</v>
      </c>
      <c r="B142" s="772">
        <v>5137</v>
      </c>
      <c r="C142" s="785" t="s">
        <v>676</v>
      </c>
      <c r="D142" s="784">
        <v>30000</v>
      </c>
      <c r="E142" s="784">
        <v>30000</v>
      </c>
      <c r="F142" s="784"/>
      <c r="G142" s="784">
        <f t="shared" si="20"/>
        <v>30000</v>
      </c>
      <c r="H142" s="784">
        <f t="shared" si="22"/>
        <v>30000</v>
      </c>
      <c r="I142" s="784">
        <f t="shared" si="23"/>
        <v>30000</v>
      </c>
      <c r="J142" s="803"/>
      <c r="K142" s="784"/>
      <c r="L142" s="784">
        <v>15000</v>
      </c>
      <c r="M142" s="825"/>
      <c r="N142" s="825">
        <v>20000</v>
      </c>
      <c r="O142" s="825">
        <v>652800</v>
      </c>
      <c r="P142" s="825">
        <v>300000</v>
      </c>
      <c r="Q142" s="1036"/>
      <c r="R142" s="1035">
        <f t="shared" si="19"/>
        <v>300000</v>
      </c>
      <c r="S142" s="1035"/>
    </row>
    <row r="143" spans="1:19" hidden="1">
      <c r="A143" s="773">
        <v>5512</v>
      </c>
      <c r="B143" s="772">
        <v>5139</v>
      </c>
      <c r="C143" s="785" t="s">
        <v>677</v>
      </c>
      <c r="D143" s="784">
        <v>5000</v>
      </c>
      <c r="E143" s="784">
        <v>5000</v>
      </c>
      <c r="F143" s="784">
        <v>3948</v>
      </c>
      <c r="G143" s="784">
        <f t="shared" si="20"/>
        <v>1052</v>
      </c>
      <c r="H143" s="784">
        <f t="shared" si="22"/>
        <v>5000</v>
      </c>
      <c r="I143" s="784">
        <f t="shared" si="23"/>
        <v>5000</v>
      </c>
      <c r="J143" s="803"/>
      <c r="K143" s="784"/>
      <c r="L143" s="784">
        <v>5000</v>
      </c>
      <c r="M143" s="825">
        <v>20000</v>
      </c>
      <c r="N143" s="825">
        <v>20000</v>
      </c>
      <c r="O143" s="825">
        <v>5000</v>
      </c>
      <c r="P143" s="825">
        <v>20000</v>
      </c>
      <c r="Q143" s="1036"/>
      <c r="R143" s="1035">
        <f t="shared" si="19"/>
        <v>20000</v>
      </c>
      <c r="S143" s="1035"/>
    </row>
    <row r="144" spans="1:19" hidden="1">
      <c r="A144" s="773">
        <v>5512</v>
      </c>
      <c r="B144" s="772">
        <v>5156</v>
      </c>
      <c r="C144" s="785" t="s">
        <v>678</v>
      </c>
      <c r="D144" s="784">
        <v>2000</v>
      </c>
      <c r="E144" s="784">
        <v>2000</v>
      </c>
      <c r="F144" s="784">
        <v>1150</v>
      </c>
      <c r="G144" s="784">
        <f t="shared" si="20"/>
        <v>850</v>
      </c>
      <c r="H144" s="784">
        <f t="shared" si="22"/>
        <v>2000</v>
      </c>
      <c r="I144" s="784">
        <f t="shared" si="23"/>
        <v>2000</v>
      </c>
      <c r="J144" s="803"/>
      <c r="K144" s="784">
        <v>2062</v>
      </c>
      <c r="L144" s="784">
        <v>2000</v>
      </c>
      <c r="M144" s="825">
        <v>6000</v>
      </c>
      <c r="N144" s="825">
        <v>5000</v>
      </c>
      <c r="O144" s="825">
        <v>5000</v>
      </c>
      <c r="P144" s="825">
        <v>6000</v>
      </c>
      <c r="Q144" s="1036"/>
      <c r="R144" s="1035">
        <f t="shared" si="19"/>
        <v>6000</v>
      </c>
      <c r="S144" s="1035"/>
    </row>
    <row r="145" spans="1:19" hidden="1">
      <c r="A145" s="773">
        <v>5512</v>
      </c>
      <c r="B145" s="772">
        <v>5163</v>
      </c>
      <c r="C145" s="785" t="s">
        <v>679</v>
      </c>
      <c r="D145" s="784">
        <v>2400</v>
      </c>
      <c r="E145" s="784">
        <v>2400</v>
      </c>
      <c r="F145" s="784">
        <v>2329</v>
      </c>
      <c r="G145" s="784">
        <f t="shared" si="20"/>
        <v>71</v>
      </c>
      <c r="H145" s="784">
        <f t="shared" si="22"/>
        <v>2400</v>
      </c>
      <c r="I145" s="784">
        <f t="shared" si="23"/>
        <v>2400</v>
      </c>
      <c r="J145" s="803"/>
      <c r="K145" s="784">
        <v>2329</v>
      </c>
      <c r="L145" s="784">
        <v>2400</v>
      </c>
      <c r="M145" s="825">
        <v>2400</v>
      </c>
      <c r="N145" s="825">
        <v>2400</v>
      </c>
      <c r="O145" s="825">
        <v>2400</v>
      </c>
      <c r="P145" s="825">
        <v>3000</v>
      </c>
      <c r="Q145" s="1036"/>
      <c r="R145" s="1035">
        <f t="shared" si="19"/>
        <v>3000</v>
      </c>
      <c r="S145" s="1035"/>
    </row>
    <row r="146" spans="1:19" hidden="1">
      <c r="A146" s="773">
        <v>5512</v>
      </c>
      <c r="B146" s="772">
        <v>5167</v>
      </c>
      <c r="C146" s="785" t="s">
        <v>680</v>
      </c>
      <c r="D146" s="784">
        <v>5000</v>
      </c>
      <c r="E146" s="784">
        <v>5000</v>
      </c>
      <c r="F146" s="784"/>
      <c r="G146" s="784">
        <f t="shared" si="20"/>
        <v>5000</v>
      </c>
      <c r="H146" s="784">
        <f t="shared" si="22"/>
        <v>5000</v>
      </c>
      <c r="I146" s="784">
        <f t="shared" si="23"/>
        <v>5000</v>
      </c>
      <c r="J146" s="803"/>
      <c r="K146" s="784"/>
      <c r="L146" s="784">
        <v>5000</v>
      </c>
      <c r="M146" s="825"/>
      <c r="N146" s="825">
        <v>5000</v>
      </c>
      <c r="O146" s="825"/>
      <c r="P146" s="825">
        <v>30000</v>
      </c>
      <c r="Q146" s="1036"/>
      <c r="R146" s="1035">
        <f t="shared" si="19"/>
        <v>30000</v>
      </c>
      <c r="S146" s="1035"/>
    </row>
    <row r="147" spans="1:19" hidden="1">
      <c r="A147" s="773">
        <v>5512</v>
      </c>
      <c r="B147" s="772">
        <v>5171</v>
      </c>
      <c r="C147" s="785" t="s">
        <v>681</v>
      </c>
      <c r="D147" s="784">
        <v>5000</v>
      </c>
      <c r="E147" s="784">
        <v>5000</v>
      </c>
      <c r="F147" s="784"/>
      <c r="G147" s="784">
        <f t="shared" si="20"/>
        <v>5000</v>
      </c>
      <c r="H147" s="784">
        <f t="shared" si="22"/>
        <v>5000</v>
      </c>
      <c r="I147" s="784">
        <f t="shared" si="23"/>
        <v>5000</v>
      </c>
      <c r="J147" s="803"/>
      <c r="K147" s="784">
        <v>3422</v>
      </c>
      <c r="L147" s="784">
        <v>5000</v>
      </c>
      <c r="M147" s="825">
        <v>25000</v>
      </c>
      <c r="N147" s="825">
        <v>20000</v>
      </c>
      <c r="O147" s="825"/>
      <c r="P147" s="825">
        <v>50000</v>
      </c>
      <c r="Q147" s="1036"/>
      <c r="R147" s="1035">
        <f t="shared" si="19"/>
        <v>50000</v>
      </c>
      <c r="S147" s="1035"/>
    </row>
    <row r="148" spans="1:19" hidden="1">
      <c r="A148" s="773">
        <v>5512</v>
      </c>
      <c r="B148" s="772">
        <v>5222</v>
      </c>
      <c r="C148" s="785" t="s">
        <v>682</v>
      </c>
      <c r="D148" s="784"/>
      <c r="E148" s="784"/>
      <c r="F148" s="784"/>
      <c r="G148" s="784"/>
      <c r="H148" s="784"/>
      <c r="I148" s="784"/>
      <c r="J148" s="803"/>
      <c r="K148" s="784"/>
      <c r="L148" s="784"/>
      <c r="M148" s="825"/>
      <c r="N148" s="825"/>
      <c r="O148" s="825">
        <v>20000</v>
      </c>
      <c r="P148" s="825">
        <v>40000</v>
      </c>
      <c r="Q148" s="1036"/>
      <c r="R148" s="1035">
        <f t="shared" si="19"/>
        <v>40000</v>
      </c>
      <c r="S148" s="1035"/>
    </row>
    <row r="149" spans="1:19" hidden="1">
      <c r="A149" s="836">
        <v>5512</v>
      </c>
      <c r="B149" s="837">
        <v>6121</v>
      </c>
      <c r="C149" s="838" t="s">
        <v>683</v>
      </c>
      <c r="D149" s="839"/>
      <c r="E149" s="839"/>
      <c r="F149" s="839"/>
      <c r="G149" s="839" t="e">
        <f>#REF!</f>
        <v>#REF!</v>
      </c>
      <c r="H149" s="839" t="e">
        <f t="shared" si="22"/>
        <v>#REF!</v>
      </c>
      <c r="I149" s="839" t="e">
        <f>#REF!</f>
        <v>#REF!</v>
      </c>
      <c r="J149" s="1022"/>
      <c r="K149" s="839"/>
      <c r="L149" s="839"/>
      <c r="M149" s="842"/>
      <c r="N149" s="842"/>
      <c r="O149" s="842"/>
      <c r="P149" s="842">
        <v>500000</v>
      </c>
      <c r="Q149" s="1036"/>
      <c r="R149" s="1035">
        <f t="shared" si="19"/>
        <v>500000</v>
      </c>
      <c r="S149" s="1035"/>
    </row>
    <row r="150" spans="1:19" hidden="1">
      <c r="A150" s="773">
        <v>6112</v>
      </c>
      <c r="B150" s="772">
        <v>5023</v>
      </c>
      <c r="C150" s="785" t="s">
        <v>685</v>
      </c>
      <c r="D150" s="784">
        <f>1400000+150000</f>
        <v>1550000</v>
      </c>
      <c r="E150" s="784">
        <v>1550000</v>
      </c>
      <c r="F150" s="784">
        <v>1149263</v>
      </c>
      <c r="G150" s="784">
        <f t="shared" si="20"/>
        <v>400737</v>
      </c>
      <c r="H150" s="784">
        <f t="shared" si="22"/>
        <v>1550000</v>
      </c>
      <c r="I150" s="784">
        <f t="shared" ref="I150:I177" si="24">H150</f>
        <v>1550000</v>
      </c>
      <c r="J150" s="803"/>
      <c r="K150" s="784">
        <v>1267163</v>
      </c>
      <c r="L150" s="784">
        <v>1550000</v>
      </c>
      <c r="M150" s="825">
        <v>1800000</v>
      </c>
      <c r="N150" s="825">
        <v>1760000</v>
      </c>
      <c r="O150" s="825">
        <v>1760000</v>
      </c>
      <c r="P150" s="825">
        <v>2100000</v>
      </c>
      <c r="Q150" s="1036"/>
      <c r="R150" s="1035">
        <f t="shared" si="19"/>
        <v>2100000</v>
      </c>
      <c r="S150" s="1035"/>
    </row>
    <row r="151" spans="1:19" hidden="1">
      <c r="A151" s="773">
        <v>6112</v>
      </c>
      <c r="B151" s="772">
        <v>5026</v>
      </c>
      <c r="C151" s="785" t="s">
        <v>687</v>
      </c>
      <c r="D151" s="784"/>
      <c r="E151" s="784"/>
      <c r="F151" s="784"/>
      <c r="G151" s="784"/>
      <c r="H151" s="784"/>
      <c r="I151" s="784"/>
      <c r="J151" s="803"/>
      <c r="K151" s="784"/>
      <c r="L151" s="784"/>
      <c r="M151" s="825"/>
      <c r="N151" s="825"/>
      <c r="O151" s="825">
        <v>340000</v>
      </c>
      <c r="P151" s="825"/>
      <c r="Q151" s="1036"/>
      <c r="R151" s="1035"/>
      <c r="S151" s="1035"/>
    </row>
    <row r="152" spans="1:19" hidden="1">
      <c r="A152" s="773">
        <v>6112</v>
      </c>
      <c r="B152" s="772">
        <v>5031</v>
      </c>
      <c r="C152" s="785" t="s">
        <v>688</v>
      </c>
      <c r="D152" s="784">
        <v>270000</v>
      </c>
      <c r="E152" s="784">
        <v>270000</v>
      </c>
      <c r="F152" s="784">
        <v>222151</v>
      </c>
      <c r="G152" s="784">
        <f t="shared" si="20"/>
        <v>47849</v>
      </c>
      <c r="H152" s="784">
        <f t="shared" si="22"/>
        <v>270000</v>
      </c>
      <c r="I152" s="784">
        <f t="shared" si="24"/>
        <v>270000</v>
      </c>
      <c r="J152" s="803"/>
      <c r="K152" s="784">
        <v>252558</v>
      </c>
      <c r="L152" s="784">
        <v>270000</v>
      </c>
      <c r="M152" s="825">
        <v>300000</v>
      </c>
      <c r="N152" s="825">
        <v>330000</v>
      </c>
      <c r="O152" s="825">
        <v>250000</v>
      </c>
      <c r="P152" s="825"/>
      <c r="Q152" s="1036"/>
      <c r="R152" s="1035"/>
      <c r="S152" s="1035"/>
    </row>
    <row r="153" spans="1:19" hidden="1">
      <c r="A153" s="773">
        <v>6112</v>
      </c>
      <c r="B153" s="772">
        <v>5032</v>
      </c>
      <c r="C153" s="785" t="s">
        <v>689</v>
      </c>
      <c r="D153" s="784">
        <v>125000</v>
      </c>
      <c r="E153" s="784">
        <v>125000</v>
      </c>
      <c r="F153" s="784">
        <v>100555</v>
      </c>
      <c r="G153" s="784">
        <f t="shared" si="20"/>
        <v>24445</v>
      </c>
      <c r="H153" s="784">
        <f t="shared" si="22"/>
        <v>125000</v>
      </c>
      <c r="I153" s="784">
        <f t="shared" si="24"/>
        <v>125000</v>
      </c>
      <c r="J153" s="803"/>
      <c r="K153" s="784">
        <v>115047</v>
      </c>
      <c r="L153" s="784">
        <v>125000</v>
      </c>
      <c r="M153" s="825">
        <v>150000</v>
      </c>
      <c r="N153" s="825">
        <v>165000</v>
      </c>
      <c r="O153" s="825">
        <v>165000</v>
      </c>
      <c r="P153" s="825">
        <v>190000</v>
      </c>
      <c r="Q153" s="1036"/>
      <c r="R153" s="1035">
        <f>SUM(P153:Q153)</f>
        <v>190000</v>
      </c>
      <c r="S153" s="1035"/>
    </row>
    <row r="154" spans="1:19">
      <c r="A154" s="773" t="s">
        <v>690</v>
      </c>
      <c r="B154" s="772">
        <v>5021</v>
      </c>
      <c r="C154" s="785" t="s">
        <v>691</v>
      </c>
      <c r="D154" s="784"/>
      <c r="E154" s="784"/>
      <c r="F154" s="784">
        <v>8851.15</v>
      </c>
      <c r="G154" s="784">
        <v>0</v>
      </c>
      <c r="H154" s="784">
        <f t="shared" si="22"/>
        <v>8851.15</v>
      </c>
      <c r="I154" s="784">
        <f t="shared" si="24"/>
        <v>8851.15</v>
      </c>
      <c r="J154" s="803">
        <v>-8851</v>
      </c>
      <c r="K154" s="784"/>
      <c r="L154" s="784"/>
      <c r="M154" s="825"/>
      <c r="N154" s="825"/>
      <c r="O154" s="825">
        <f>8929+35504</f>
        <v>44433</v>
      </c>
      <c r="P154" s="825"/>
      <c r="Q154" s="1036"/>
      <c r="R154" s="1035"/>
      <c r="S154" s="1035">
        <v>21540</v>
      </c>
    </row>
    <row r="155" spans="1:19">
      <c r="A155" s="773" t="s">
        <v>690</v>
      </c>
      <c r="B155" s="772">
        <v>5139</v>
      </c>
      <c r="C155" s="785" t="s">
        <v>1237</v>
      </c>
      <c r="D155" s="784"/>
      <c r="E155" s="784"/>
      <c r="F155" s="784"/>
      <c r="G155" s="784"/>
      <c r="H155" s="784"/>
      <c r="I155" s="784"/>
      <c r="J155" s="803"/>
      <c r="K155" s="784"/>
      <c r="L155" s="784"/>
      <c r="M155" s="825"/>
      <c r="N155" s="825"/>
      <c r="O155" s="825"/>
      <c r="P155" s="825"/>
      <c r="Q155" s="1036"/>
      <c r="R155" s="1035"/>
      <c r="S155" s="1035">
        <v>8500</v>
      </c>
    </row>
    <row r="156" spans="1:19">
      <c r="A156" s="773" t="s">
        <v>690</v>
      </c>
      <c r="B156" s="772">
        <v>5175</v>
      </c>
      <c r="C156" s="785" t="s">
        <v>692</v>
      </c>
      <c r="D156" s="784"/>
      <c r="E156" s="784"/>
      <c r="F156" s="784"/>
      <c r="G156" s="784"/>
      <c r="H156" s="784"/>
      <c r="I156" s="784"/>
      <c r="J156" s="803"/>
      <c r="K156" s="784"/>
      <c r="L156" s="784"/>
      <c r="M156" s="825"/>
      <c r="N156" s="825"/>
      <c r="O156" s="825">
        <f>1266+3096</f>
        <v>4362</v>
      </c>
      <c r="P156" s="825"/>
      <c r="Q156" s="1036"/>
      <c r="R156" s="1035"/>
      <c r="S156" s="1035">
        <v>1960</v>
      </c>
    </row>
    <row r="157" spans="1:19">
      <c r="A157" s="773">
        <v>6171</v>
      </c>
      <c r="B157" s="772">
        <v>5011</v>
      </c>
      <c r="C157" s="785" t="s">
        <v>693</v>
      </c>
      <c r="D157" s="784">
        <v>400000</v>
      </c>
      <c r="E157" s="784">
        <v>700000</v>
      </c>
      <c r="F157" s="784">
        <v>582730</v>
      </c>
      <c r="G157" s="784">
        <f t="shared" ref="G157:G188" si="25">E157-F157</f>
        <v>117270</v>
      </c>
      <c r="H157" s="784">
        <f t="shared" si="22"/>
        <v>700000</v>
      </c>
      <c r="I157" s="784">
        <f t="shared" si="24"/>
        <v>700000</v>
      </c>
      <c r="J157" s="803"/>
      <c r="K157" s="784">
        <v>679093</v>
      </c>
      <c r="L157" s="784">
        <v>750000</v>
      </c>
      <c r="M157" s="825">
        <v>900000</v>
      </c>
      <c r="N157" s="825">
        <v>1000000</v>
      </c>
      <c r="O157" s="825">
        <v>1100000</v>
      </c>
      <c r="P157" s="825">
        <v>2500000</v>
      </c>
      <c r="Q157" s="1036"/>
      <c r="R157" s="1035">
        <f t="shared" ref="R157:R183" si="26">SUM(P157:Q157)</f>
        <v>2500000</v>
      </c>
      <c r="S157" s="1035">
        <v>500000</v>
      </c>
    </row>
    <row r="158" spans="1:19" hidden="1">
      <c r="A158" s="773">
        <v>6171</v>
      </c>
      <c r="B158" s="772">
        <v>5021</v>
      </c>
      <c r="C158" s="785" t="s">
        <v>694</v>
      </c>
      <c r="D158" s="784">
        <v>60000</v>
      </c>
      <c r="E158" s="784">
        <v>60000</v>
      </c>
      <c r="F158" s="784">
        <v>36445</v>
      </c>
      <c r="G158" s="784">
        <f t="shared" si="25"/>
        <v>23555</v>
      </c>
      <c r="H158" s="784">
        <f t="shared" si="22"/>
        <v>60000</v>
      </c>
      <c r="I158" s="784">
        <f t="shared" si="24"/>
        <v>60000</v>
      </c>
      <c r="J158" s="803"/>
      <c r="K158" s="784">
        <v>70573</v>
      </c>
      <c r="L158" s="784">
        <v>90000</v>
      </c>
      <c r="M158" s="825">
        <v>120000</v>
      </c>
      <c r="N158" s="825">
        <v>120000</v>
      </c>
      <c r="O158" s="825">
        <v>200000</v>
      </c>
      <c r="P158" s="825">
        <v>220000</v>
      </c>
      <c r="Q158" s="1036"/>
      <c r="R158" s="1035">
        <f t="shared" si="26"/>
        <v>220000</v>
      </c>
      <c r="S158" s="1035"/>
    </row>
    <row r="159" spans="1:19">
      <c r="A159" s="773">
        <v>6171</v>
      </c>
      <c r="B159" s="772">
        <v>5031</v>
      </c>
      <c r="C159" s="785" t="s">
        <v>695</v>
      </c>
      <c r="D159" s="784">
        <v>120000</v>
      </c>
      <c r="E159" s="784">
        <v>120000</v>
      </c>
      <c r="F159" s="784">
        <v>144340</v>
      </c>
      <c r="G159" s="784">
        <f>0.25*G157</f>
        <v>29317.5</v>
      </c>
      <c r="H159" s="784">
        <f t="shared" si="22"/>
        <v>173657.5</v>
      </c>
      <c r="I159" s="784">
        <f t="shared" si="24"/>
        <v>173657.5</v>
      </c>
      <c r="J159" s="803"/>
      <c r="K159" s="784">
        <v>180934</v>
      </c>
      <c r="L159" s="784">
        <v>200000</v>
      </c>
      <c r="M159" s="825">
        <v>250000</v>
      </c>
      <c r="N159" s="825">
        <v>250000</v>
      </c>
      <c r="O159" s="825">
        <v>300000</v>
      </c>
      <c r="P159" s="825">
        <v>620000</v>
      </c>
      <c r="Q159" s="1036"/>
      <c r="R159" s="1035">
        <f t="shared" si="26"/>
        <v>620000</v>
      </c>
      <c r="S159" s="1035">
        <v>150000</v>
      </c>
    </row>
    <row r="160" spans="1:19">
      <c r="A160" s="773">
        <v>6171</v>
      </c>
      <c r="B160" s="772">
        <v>5032</v>
      </c>
      <c r="C160" s="785" t="s">
        <v>696</v>
      </c>
      <c r="D160" s="784">
        <v>40000</v>
      </c>
      <c r="E160" s="784">
        <v>40000</v>
      </c>
      <c r="F160" s="784">
        <v>52351</v>
      </c>
      <c r="G160" s="784">
        <f>0.1*G157</f>
        <v>11727</v>
      </c>
      <c r="H160" s="784">
        <f t="shared" si="22"/>
        <v>64078</v>
      </c>
      <c r="I160" s="784">
        <f t="shared" si="24"/>
        <v>64078</v>
      </c>
      <c r="J160" s="803"/>
      <c r="K160" s="784">
        <v>65662</v>
      </c>
      <c r="L160" s="784">
        <v>80000</v>
      </c>
      <c r="M160" s="825">
        <v>90000</v>
      </c>
      <c r="N160" s="825">
        <v>125000</v>
      </c>
      <c r="O160" s="825">
        <v>125000</v>
      </c>
      <c r="P160" s="825">
        <v>225000</v>
      </c>
      <c r="Q160" s="1036"/>
      <c r="R160" s="1035">
        <f t="shared" si="26"/>
        <v>225000</v>
      </c>
      <c r="S160" s="1035">
        <v>50000</v>
      </c>
    </row>
    <row r="161" spans="1:19" hidden="1">
      <c r="A161" s="773">
        <v>6171</v>
      </c>
      <c r="B161" s="772">
        <v>5038</v>
      </c>
      <c r="C161" s="785" t="s">
        <v>697</v>
      </c>
      <c r="D161" s="784">
        <v>1000</v>
      </c>
      <c r="E161" s="784">
        <v>1000</v>
      </c>
      <c r="F161" s="784">
        <v>279</v>
      </c>
      <c r="G161" s="784">
        <f t="shared" si="25"/>
        <v>721</v>
      </c>
      <c r="H161" s="784">
        <f t="shared" si="22"/>
        <v>1000</v>
      </c>
      <c r="I161" s="784">
        <f t="shared" si="24"/>
        <v>1000</v>
      </c>
      <c r="J161" s="803"/>
      <c r="K161" s="784">
        <v>473</v>
      </c>
      <c r="L161" s="784">
        <v>1000</v>
      </c>
      <c r="M161" s="825">
        <v>1000</v>
      </c>
      <c r="N161" s="825">
        <v>1000</v>
      </c>
      <c r="O161" s="825">
        <v>1000</v>
      </c>
      <c r="P161" s="825">
        <v>5000</v>
      </c>
      <c r="Q161" s="1036"/>
      <c r="R161" s="1035">
        <f t="shared" si="26"/>
        <v>5000</v>
      </c>
      <c r="S161" s="1035"/>
    </row>
    <row r="162" spans="1:19" hidden="1">
      <c r="A162" s="773">
        <v>6171</v>
      </c>
      <c r="B162" s="772">
        <v>5137</v>
      </c>
      <c r="C162" s="785" t="s">
        <v>698</v>
      </c>
      <c r="D162" s="784">
        <v>20000</v>
      </c>
      <c r="E162" s="784">
        <v>45000</v>
      </c>
      <c r="F162" s="784">
        <v>41317.78</v>
      </c>
      <c r="G162" s="784">
        <f t="shared" si="25"/>
        <v>3682.2200000000012</v>
      </c>
      <c r="H162" s="784">
        <f t="shared" si="22"/>
        <v>45000</v>
      </c>
      <c r="I162" s="784">
        <f t="shared" si="24"/>
        <v>45000</v>
      </c>
      <c r="J162" s="803"/>
      <c r="K162" s="784"/>
      <c r="L162" s="784"/>
      <c r="M162" s="825"/>
      <c r="N162" s="825">
        <v>100000</v>
      </c>
      <c r="O162" s="825">
        <v>100000</v>
      </c>
      <c r="P162" s="825">
        <v>100000</v>
      </c>
      <c r="Q162" s="1036"/>
      <c r="R162" s="1035">
        <f t="shared" si="26"/>
        <v>100000</v>
      </c>
      <c r="S162" s="1035"/>
    </row>
    <row r="163" spans="1:19" hidden="1">
      <c r="A163" s="773">
        <v>6171</v>
      </c>
      <c r="B163" s="772">
        <v>5139</v>
      </c>
      <c r="C163" s="785" t="s">
        <v>699</v>
      </c>
      <c r="D163" s="784">
        <v>45000</v>
      </c>
      <c r="E163" s="784">
        <v>85000</v>
      </c>
      <c r="F163" s="784">
        <v>98068.03</v>
      </c>
      <c r="G163" s="784">
        <f>100000-F163</f>
        <v>1931.9700000000012</v>
      </c>
      <c r="H163" s="784">
        <f t="shared" si="22"/>
        <v>100000</v>
      </c>
      <c r="I163" s="784">
        <f t="shared" si="24"/>
        <v>100000</v>
      </c>
      <c r="J163" s="803"/>
      <c r="K163" s="784">
        <v>101131</v>
      </c>
      <c r="L163" s="784">
        <v>110000</v>
      </c>
      <c r="M163" s="825">
        <v>50000</v>
      </c>
      <c r="N163" s="825">
        <v>100000</v>
      </c>
      <c r="O163" s="825">
        <v>130000</v>
      </c>
      <c r="P163" s="825">
        <v>150000</v>
      </c>
      <c r="Q163" s="1036"/>
      <c r="R163" s="1035">
        <f t="shared" si="26"/>
        <v>150000</v>
      </c>
      <c r="S163" s="1035"/>
    </row>
    <row r="164" spans="1:19" hidden="1">
      <c r="A164" s="773">
        <v>6171</v>
      </c>
      <c r="B164" s="772">
        <v>5151</v>
      </c>
      <c r="C164" s="785" t="s">
        <v>700</v>
      </c>
      <c r="D164" s="784">
        <v>1000</v>
      </c>
      <c r="E164" s="784">
        <v>1600</v>
      </c>
      <c r="F164" s="784">
        <v>1327</v>
      </c>
      <c r="G164" s="784">
        <f t="shared" si="25"/>
        <v>273</v>
      </c>
      <c r="H164" s="784">
        <f t="shared" si="22"/>
        <v>1600</v>
      </c>
      <c r="I164" s="784">
        <f t="shared" si="24"/>
        <v>1600</v>
      </c>
      <c r="J164" s="803"/>
      <c r="K164" s="784"/>
      <c r="L164" s="784">
        <v>1600</v>
      </c>
      <c r="M164" s="825">
        <v>4000</v>
      </c>
      <c r="N164" s="825">
        <v>5000</v>
      </c>
      <c r="O164" s="825">
        <v>15000</v>
      </c>
      <c r="P164" s="825">
        <v>15000</v>
      </c>
      <c r="Q164" s="1036"/>
      <c r="R164" s="1035">
        <f t="shared" si="26"/>
        <v>15000</v>
      </c>
      <c r="S164" s="1035"/>
    </row>
    <row r="165" spans="1:19" hidden="1">
      <c r="A165" s="773">
        <v>6171</v>
      </c>
      <c r="B165" s="772">
        <v>5153</v>
      </c>
      <c r="C165" s="785" t="s">
        <v>701</v>
      </c>
      <c r="D165" s="784">
        <v>40000</v>
      </c>
      <c r="E165" s="784">
        <v>40000</v>
      </c>
      <c r="F165" s="784">
        <v>31500</v>
      </c>
      <c r="G165" s="784">
        <f t="shared" si="25"/>
        <v>8500</v>
      </c>
      <c r="H165" s="784">
        <f t="shared" si="22"/>
        <v>40000</v>
      </c>
      <c r="I165" s="784">
        <f t="shared" si="24"/>
        <v>40000</v>
      </c>
      <c r="J165" s="803"/>
      <c r="K165" s="784">
        <v>30600</v>
      </c>
      <c r="L165" s="784">
        <v>40000</v>
      </c>
      <c r="M165" s="825">
        <v>40000</v>
      </c>
      <c r="N165" s="825">
        <v>40000</v>
      </c>
      <c r="O165" s="825">
        <v>50000</v>
      </c>
      <c r="P165" s="825">
        <v>50000</v>
      </c>
      <c r="Q165" s="1036"/>
      <c r="R165" s="1035">
        <f t="shared" si="26"/>
        <v>50000</v>
      </c>
      <c r="S165" s="1035"/>
    </row>
    <row r="166" spans="1:19" hidden="1">
      <c r="A166" s="773">
        <v>6171</v>
      </c>
      <c r="B166" s="772">
        <v>5154</v>
      </c>
      <c r="C166" s="785" t="s">
        <v>702</v>
      </c>
      <c r="D166" s="784">
        <v>15000</v>
      </c>
      <c r="E166" s="784">
        <v>15000</v>
      </c>
      <c r="F166" s="784">
        <v>10640</v>
      </c>
      <c r="G166" s="784">
        <f t="shared" si="25"/>
        <v>4360</v>
      </c>
      <c r="H166" s="784">
        <f t="shared" si="22"/>
        <v>15000</v>
      </c>
      <c r="I166" s="784">
        <f t="shared" si="24"/>
        <v>15000</v>
      </c>
      <c r="J166" s="803"/>
      <c r="K166" s="784"/>
      <c r="L166" s="784">
        <v>15000</v>
      </c>
      <c r="M166" s="825">
        <v>60000</v>
      </c>
      <c r="N166" s="825">
        <v>80000</v>
      </c>
      <c r="O166" s="825">
        <v>60000</v>
      </c>
      <c r="P166" s="825">
        <v>60000</v>
      </c>
      <c r="Q166" s="1036"/>
      <c r="R166" s="1035">
        <f t="shared" si="26"/>
        <v>60000</v>
      </c>
      <c r="S166" s="1035"/>
    </row>
    <row r="167" spans="1:19" hidden="1">
      <c r="A167" s="773">
        <v>6171</v>
      </c>
      <c r="B167" s="772">
        <v>5161</v>
      </c>
      <c r="C167" s="785" t="s">
        <v>703</v>
      </c>
      <c r="D167" s="784">
        <v>5000</v>
      </c>
      <c r="E167" s="784">
        <v>5000</v>
      </c>
      <c r="F167" s="784">
        <v>10071</v>
      </c>
      <c r="G167" s="784">
        <f>12000-F167</f>
        <v>1929</v>
      </c>
      <c r="H167" s="784">
        <f t="shared" si="22"/>
        <v>12000</v>
      </c>
      <c r="I167" s="784">
        <f t="shared" si="24"/>
        <v>12000</v>
      </c>
      <c r="J167" s="803"/>
      <c r="K167" s="784">
        <v>1718</v>
      </c>
      <c r="L167" s="784">
        <v>5000</v>
      </c>
      <c r="M167" s="825">
        <v>3000</v>
      </c>
      <c r="N167" s="825">
        <v>5000</v>
      </c>
      <c r="O167" s="825">
        <v>5000</v>
      </c>
      <c r="P167" s="825">
        <v>5000</v>
      </c>
      <c r="Q167" s="1036"/>
      <c r="R167" s="1035">
        <f t="shared" si="26"/>
        <v>5000</v>
      </c>
      <c r="S167" s="1035"/>
    </row>
    <row r="168" spans="1:19" hidden="1">
      <c r="A168" s="773">
        <v>6171</v>
      </c>
      <c r="B168" s="772">
        <v>5162</v>
      </c>
      <c r="C168" s="785" t="s">
        <v>704</v>
      </c>
      <c r="D168" s="784">
        <v>25000</v>
      </c>
      <c r="E168" s="784">
        <v>25000</v>
      </c>
      <c r="F168" s="784">
        <v>19428.080000000002</v>
      </c>
      <c r="G168" s="784">
        <f t="shared" si="25"/>
        <v>5571.9199999999983</v>
      </c>
      <c r="H168" s="784">
        <f t="shared" si="22"/>
        <v>25000</v>
      </c>
      <c r="I168" s="784">
        <f t="shared" si="24"/>
        <v>25000</v>
      </c>
      <c r="J168" s="803"/>
      <c r="K168" s="784">
        <v>28542</v>
      </c>
      <c r="L168" s="784">
        <v>30000</v>
      </c>
      <c r="M168" s="825">
        <v>30000</v>
      </c>
      <c r="N168" s="825">
        <v>30000</v>
      </c>
      <c r="O168" s="825">
        <v>35000</v>
      </c>
      <c r="P168" s="825">
        <v>35000</v>
      </c>
      <c r="Q168" s="1036"/>
      <c r="R168" s="1035">
        <f t="shared" si="26"/>
        <v>35000</v>
      </c>
      <c r="S168" s="1035"/>
    </row>
    <row r="169" spans="1:19" hidden="1">
      <c r="A169" s="773">
        <v>6171</v>
      </c>
      <c r="B169" s="772">
        <v>5163</v>
      </c>
      <c r="C169" s="785" t="s">
        <v>705</v>
      </c>
      <c r="D169" s="784">
        <v>30000</v>
      </c>
      <c r="E169" s="784">
        <v>30000</v>
      </c>
      <c r="F169" s="784">
        <v>23564.799999999999</v>
      </c>
      <c r="G169" s="784">
        <f t="shared" si="25"/>
        <v>6435.2000000000007</v>
      </c>
      <c r="H169" s="784">
        <f t="shared" si="22"/>
        <v>30000</v>
      </c>
      <c r="I169" s="784">
        <f t="shared" si="24"/>
        <v>30000</v>
      </c>
      <c r="J169" s="803"/>
      <c r="K169" s="784">
        <v>70124</v>
      </c>
      <c r="L169" s="784">
        <v>70500</v>
      </c>
      <c r="M169" s="825">
        <v>90000</v>
      </c>
      <c r="N169" s="825">
        <v>90000</v>
      </c>
      <c r="O169" s="825">
        <v>90000</v>
      </c>
      <c r="P169" s="825">
        <v>90000</v>
      </c>
      <c r="Q169" s="1036"/>
      <c r="R169" s="1035">
        <f t="shared" si="26"/>
        <v>90000</v>
      </c>
      <c r="S169" s="1035"/>
    </row>
    <row r="170" spans="1:19" hidden="1">
      <c r="A170" s="773">
        <v>6171</v>
      </c>
      <c r="B170" s="772">
        <v>5166</v>
      </c>
      <c r="C170" s="785" t="s">
        <v>706</v>
      </c>
      <c r="D170" s="784">
        <v>100000</v>
      </c>
      <c r="E170" s="784">
        <v>100000</v>
      </c>
      <c r="F170" s="784">
        <v>25168</v>
      </c>
      <c r="G170" s="784">
        <f t="shared" si="25"/>
        <v>74832</v>
      </c>
      <c r="H170" s="784">
        <f t="shared" si="22"/>
        <v>100000</v>
      </c>
      <c r="I170" s="784">
        <f t="shared" si="24"/>
        <v>100000</v>
      </c>
      <c r="J170" s="803"/>
      <c r="K170" s="784">
        <v>44162</v>
      </c>
      <c r="L170" s="784">
        <v>100000</v>
      </c>
      <c r="M170" s="825">
        <v>450000</v>
      </c>
      <c r="N170" s="825">
        <v>200000</v>
      </c>
      <c r="O170" s="825">
        <v>400000</v>
      </c>
      <c r="P170" s="825">
        <v>1000000</v>
      </c>
      <c r="Q170" s="1036"/>
      <c r="R170" s="1035">
        <f t="shared" si="26"/>
        <v>1000000</v>
      </c>
      <c r="S170" s="1035"/>
    </row>
    <row r="171" spans="1:19" hidden="1">
      <c r="A171" s="773">
        <v>6171</v>
      </c>
      <c r="B171" s="772">
        <v>5167</v>
      </c>
      <c r="C171" s="785" t="s">
        <v>707</v>
      </c>
      <c r="D171" s="784">
        <v>5000</v>
      </c>
      <c r="E171" s="784">
        <v>5000</v>
      </c>
      <c r="F171" s="784">
        <v>1000</v>
      </c>
      <c r="G171" s="784">
        <f t="shared" si="25"/>
        <v>4000</v>
      </c>
      <c r="H171" s="784">
        <f t="shared" si="22"/>
        <v>5000</v>
      </c>
      <c r="I171" s="784">
        <f t="shared" si="24"/>
        <v>5000</v>
      </c>
      <c r="J171" s="803"/>
      <c r="K171" s="784">
        <v>800</v>
      </c>
      <c r="L171" s="784">
        <v>5000</v>
      </c>
      <c r="M171" s="825"/>
      <c r="N171" s="825">
        <v>5000</v>
      </c>
      <c r="O171" s="825"/>
      <c r="P171" s="825">
        <v>30000</v>
      </c>
      <c r="Q171" s="1036"/>
      <c r="R171" s="1035">
        <f t="shared" si="26"/>
        <v>30000</v>
      </c>
      <c r="S171" s="1035"/>
    </row>
    <row r="172" spans="1:19" hidden="1">
      <c r="A172" s="773">
        <v>6171</v>
      </c>
      <c r="B172" s="772">
        <v>5168</v>
      </c>
      <c r="C172" s="785" t="s">
        <v>708</v>
      </c>
      <c r="D172" s="784">
        <v>230000</v>
      </c>
      <c r="E172" s="784">
        <v>230000</v>
      </c>
      <c r="F172" s="784">
        <v>208858.12</v>
      </c>
      <c r="G172" s="784">
        <f t="shared" si="25"/>
        <v>21141.880000000005</v>
      </c>
      <c r="H172" s="784">
        <f t="shared" si="22"/>
        <v>230000</v>
      </c>
      <c r="I172" s="784">
        <f t="shared" si="24"/>
        <v>230000</v>
      </c>
      <c r="J172" s="803"/>
      <c r="K172" s="784">
        <v>189141</v>
      </c>
      <c r="L172" s="784">
        <v>230000</v>
      </c>
      <c r="M172" s="825">
        <v>250000</v>
      </c>
      <c r="N172" s="825">
        <v>300000</v>
      </c>
      <c r="O172" s="825">
        <v>300000</v>
      </c>
      <c r="P172" s="825">
        <v>350000</v>
      </c>
      <c r="Q172" s="1036"/>
      <c r="R172" s="1035">
        <f t="shared" si="26"/>
        <v>350000</v>
      </c>
      <c r="S172" s="1035"/>
    </row>
    <row r="173" spans="1:19" hidden="1">
      <c r="A173" s="773">
        <v>6171</v>
      </c>
      <c r="B173" s="772">
        <v>5169</v>
      </c>
      <c r="C173" s="785" t="s">
        <v>709</v>
      </c>
      <c r="D173" s="784">
        <v>70000</v>
      </c>
      <c r="E173" s="784">
        <v>70000</v>
      </c>
      <c r="F173" s="784">
        <v>18863.400000000001</v>
      </c>
      <c r="G173" s="784">
        <f t="shared" si="25"/>
        <v>51136.6</v>
      </c>
      <c r="H173" s="784">
        <f t="shared" si="22"/>
        <v>70000</v>
      </c>
      <c r="I173" s="784">
        <f t="shared" si="24"/>
        <v>70000</v>
      </c>
      <c r="J173" s="803"/>
      <c r="K173" s="784">
        <v>15578</v>
      </c>
      <c r="L173" s="784">
        <v>50000</v>
      </c>
      <c r="M173" s="825">
        <v>75000</v>
      </c>
      <c r="N173" s="825">
        <v>50000</v>
      </c>
      <c r="O173" s="825">
        <v>130000</v>
      </c>
      <c r="P173" s="825">
        <v>150000</v>
      </c>
      <c r="Q173" s="1036"/>
      <c r="R173" s="1035">
        <f t="shared" si="26"/>
        <v>150000</v>
      </c>
      <c r="S173" s="1035"/>
    </row>
    <row r="174" spans="1:19" hidden="1">
      <c r="A174" s="773">
        <v>6171</v>
      </c>
      <c r="B174" s="772">
        <v>5171</v>
      </c>
      <c r="C174" s="785" t="s">
        <v>710</v>
      </c>
      <c r="D174" s="784">
        <v>50000</v>
      </c>
      <c r="E174" s="784">
        <v>350000</v>
      </c>
      <c r="F174" s="784">
        <v>34740.69</v>
      </c>
      <c r="G174" s="784">
        <f t="shared" si="25"/>
        <v>315259.31</v>
      </c>
      <c r="H174" s="784">
        <f t="shared" si="22"/>
        <v>350000</v>
      </c>
      <c r="I174" s="784">
        <f t="shared" si="24"/>
        <v>350000</v>
      </c>
      <c r="J174" s="803"/>
      <c r="K174" s="784">
        <v>178861</v>
      </c>
      <c r="L174" s="784">
        <v>200000</v>
      </c>
      <c r="M174" s="825">
        <v>40000</v>
      </c>
      <c r="N174" s="825">
        <v>100000</v>
      </c>
      <c r="O174" s="825">
        <v>5000</v>
      </c>
      <c r="P174" s="825">
        <v>50000</v>
      </c>
      <c r="Q174" s="1036"/>
      <c r="R174" s="1035">
        <f t="shared" si="26"/>
        <v>50000</v>
      </c>
      <c r="S174" s="1035"/>
    </row>
    <row r="175" spans="1:19" hidden="1">
      <c r="A175" s="773">
        <v>6171</v>
      </c>
      <c r="B175" s="772">
        <v>5172</v>
      </c>
      <c r="C175" s="785" t="s">
        <v>711</v>
      </c>
      <c r="D175" s="784"/>
      <c r="E175" s="784"/>
      <c r="F175" s="784"/>
      <c r="G175" s="784"/>
      <c r="H175" s="784"/>
      <c r="I175" s="784"/>
      <c r="J175" s="803"/>
      <c r="K175" s="784"/>
      <c r="L175" s="784"/>
      <c r="M175" s="825"/>
      <c r="N175" s="825"/>
      <c r="O175" s="825">
        <v>31000</v>
      </c>
      <c r="P175" s="825">
        <v>50000</v>
      </c>
      <c r="Q175" s="1036">
        <v>150000</v>
      </c>
      <c r="R175" s="1035">
        <f t="shared" si="26"/>
        <v>200000</v>
      </c>
      <c r="S175" s="1035"/>
    </row>
    <row r="176" spans="1:19" hidden="1">
      <c r="A176" s="773">
        <v>6171</v>
      </c>
      <c r="B176" s="772">
        <v>5173</v>
      </c>
      <c r="C176" s="785" t="s">
        <v>712</v>
      </c>
      <c r="D176" s="784">
        <v>500</v>
      </c>
      <c r="E176" s="784">
        <v>500</v>
      </c>
      <c r="F176" s="784"/>
      <c r="G176" s="784">
        <f t="shared" si="25"/>
        <v>500</v>
      </c>
      <c r="H176" s="784">
        <f t="shared" si="22"/>
        <v>500</v>
      </c>
      <c r="I176" s="784">
        <f t="shared" si="24"/>
        <v>500</v>
      </c>
      <c r="J176" s="803"/>
      <c r="K176" s="784"/>
      <c r="L176" s="784">
        <v>500</v>
      </c>
      <c r="M176" s="825"/>
      <c r="N176" s="825"/>
      <c r="O176" s="825"/>
      <c r="P176" s="825">
        <v>10000</v>
      </c>
      <c r="Q176" s="1036"/>
      <c r="R176" s="1035">
        <f t="shared" si="26"/>
        <v>10000</v>
      </c>
      <c r="S176" s="1035"/>
    </row>
    <row r="177" spans="1:19" hidden="1">
      <c r="A177" s="773">
        <v>6171</v>
      </c>
      <c r="B177" s="772">
        <v>5175</v>
      </c>
      <c r="C177" s="785" t="s">
        <v>713</v>
      </c>
      <c r="D177" s="784">
        <v>10000</v>
      </c>
      <c r="E177" s="784">
        <v>10000</v>
      </c>
      <c r="F177" s="784">
        <v>15750</v>
      </c>
      <c r="G177" s="784">
        <f>20000-F177</f>
        <v>4250</v>
      </c>
      <c r="H177" s="784">
        <f t="shared" si="22"/>
        <v>20000</v>
      </c>
      <c r="I177" s="784">
        <f t="shared" si="24"/>
        <v>20000</v>
      </c>
      <c r="J177" s="803"/>
      <c r="K177" s="784">
        <v>8033</v>
      </c>
      <c r="L177" s="784">
        <v>20000</v>
      </c>
      <c r="M177" s="825">
        <v>20000</v>
      </c>
      <c r="N177" s="825">
        <v>20000</v>
      </c>
      <c r="O177" s="825">
        <v>20000</v>
      </c>
      <c r="P177" s="825">
        <v>20000</v>
      </c>
      <c r="Q177" s="1036"/>
      <c r="R177" s="1035">
        <f t="shared" si="26"/>
        <v>20000</v>
      </c>
      <c r="S177" s="1035"/>
    </row>
    <row r="178" spans="1:19" hidden="1">
      <c r="A178" s="773">
        <v>6171</v>
      </c>
      <c r="B178" s="772">
        <v>5229</v>
      </c>
      <c r="C178" s="785" t="s">
        <v>714</v>
      </c>
      <c r="D178" s="784">
        <v>150000</v>
      </c>
      <c r="E178" s="784">
        <v>150000</v>
      </c>
      <c r="F178" s="784">
        <v>10820</v>
      </c>
      <c r="G178" s="784">
        <f t="shared" si="25"/>
        <v>139180</v>
      </c>
      <c r="H178" s="784">
        <f t="shared" si="22"/>
        <v>150000</v>
      </c>
      <c r="I178" s="784">
        <f>H178</f>
        <v>150000</v>
      </c>
      <c r="J178" s="803"/>
      <c r="K178" s="784">
        <v>277586</v>
      </c>
      <c r="L178" s="784">
        <v>150000</v>
      </c>
      <c r="M178" s="825">
        <v>150000</v>
      </c>
      <c r="N178" s="825">
        <v>150000</v>
      </c>
      <c r="O178" s="825">
        <v>70000</v>
      </c>
      <c r="P178" s="825">
        <v>250000</v>
      </c>
      <c r="Q178" s="1036"/>
      <c r="R178" s="1035">
        <f t="shared" si="26"/>
        <v>250000</v>
      </c>
      <c r="S178" s="1035"/>
    </row>
    <row r="179" spans="1:19" hidden="1">
      <c r="A179" s="773">
        <v>6171</v>
      </c>
      <c r="B179" s="772">
        <v>5321</v>
      </c>
      <c r="C179" s="785" t="s">
        <v>715</v>
      </c>
      <c r="D179" s="784">
        <v>100000</v>
      </c>
      <c r="E179" s="784">
        <v>100000</v>
      </c>
      <c r="F179" s="784">
        <v>52400</v>
      </c>
      <c r="G179" s="784">
        <f t="shared" si="25"/>
        <v>47600</v>
      </c>
      <c r="H179" s="784">
        <f t="shared" si="22"/>
        <v>100000</v>
      </c>
      <c r="I179" s="784">
        <f>H179</f>
        <v>100000</v>
      </c>
      <c r="J179" s="803"/>
      <c r="K179" s="784">
        <v>100000</v>
      </c>
      <c r="L179" s="784">
        <v>100000</v>
      </c>
      <c r="M179" s="825">
        <v>100000</v>
      </c>
      <c r="N179" s="825">
        <v>200000</v>
      </c>
      <c r="O179" s="825">
        <v>200000</v>
      </c>
      <c r="P179" s="825">
        <v>200000</v>
      </c>
      <c r="Q179" s="1036"/>
      <c r="R179" s="1035">
        <f t="shared" si="26"/>
        <v>200000</v>
      </c>
      <c r="S179" s="1035"/>
    </row>
    <row r="180" spans="1:19" hidden="1">
      <c r="A180" s="773">
        <v>6171</v>
      </c>
      <c r="B180" s="772">
        <v>5329</v>
      </c>
      <c r="C180" s="785" t="s">
        <v>716</v>
      </c>
      <c r="D180" s="784"/>
      <c r="E180" s="784">
        <v>33200</v>
      </c>
      <c r="F180" s="784">
        <v>33200</v>
      </c>
      <c r="G180" s="784">
        <f t="shared" si="25"/>
        <v>0</v>
      </c>
      <c r="H180" s="784">
        <f t="shared" si="22"/>
        <v>33200</v>
      </c>
      <c r="I180" s="784">
        <f>H180</f>
        <v>33200</v>
      </c>
      <c r="J180" s="803"/>
      <c r="K180" s="784">
        <v>35020</v>
      </c>
      <c r="L180" s="784">
        <v>35500</v>
      </c>
      <c r="M180" s="825">
        <v>36000</v>
      </c>
      <c r="N180" s="825">
        <v>37000</v>
      </c>
      <c r="O180" s="825"/>
      <c r="P180" s="825">
        <v>500000</v>
      </c>
      <c r="Q180" s="1036"/>
      <c r="R180" s="1035">
        <f t="shared" si="26"/>
        <v>500000</v>
      </c>
      <c r="S180" s="1035"/>
    </row>
    <row r="181" spans="1:19" hidden="1">
      <c r="A181" s="773">
        <v>6171</v>
      </c>
      <c r="B181" s="772">
        <v>5364</v>
      </c>
      <c r="C181" s="785" t="s">
        <v>717</v>
      </c>
      <c r="D181" s="784">
        <v>30000</v>
      </c>
      <c r="E181" s="784">
        <v>30000</v>
      </c>
      <c r="F181" s="784"/>
      <c r="G181" s="784">
        <f t="shared" si="25"/>
        <v>30000</v>
      </c>
      <c r="H181" s="784">
        <f t="shared" si="22"/>
        <v>30000</v>
      </c>
      <c r="I181" s="784">
        <f>H181</f>
        <v>30000</v>
      </c>
      <c r="J181" s="809">
        <v>-30000</v>
      </c>
      <c r="K181" s="784"/>
      <c r="L181" s="784"/>
      <c r="M181" s="825"/>
      <c r="N181" s="825"/>
      <c r="O181" s="825">
        <v>112200</v>
      </c>
      <c r="P181" s="825"/>
      <c r="Q181" s="1036">
        <v>90687.47</v>
      </c>
      <c r="R181" s="1035">
        <f t="shared" si="26"/>
        <v>90687.47</v>
      </c>
      <c r="S181" s="1035"/>
    </row>
    <row r="182" spans="1:19" hidden="1">
      <c r="A182" s="773">
        <v>6171</v>
      </c>
      <c r="B182" s="772">
        <v>5492</v>
      </c>
      <c r="C182" s="785" t="s">
        <v>718</v>
      </c>
      <c r="D182" s="784"/>
      <c r="E182" s="784"/>
      <c r="F182" s="784"/>
      <c r="G182" s="784"/>
      <c r="H182" s="784"/>
      <c r="I182" s="784"/>
      <c r="J182" s="809"/>
      <c r="K182" s="784"/>
      <c r="L182" s="784"/>
      <c r="M182" s="825"/>
      <c r="N182" s="825"/>
      <c r="O182" s="825">
        <v>39000</v>
      </c>
      <c r="P182" s="825">
        <v>100000</v>
      </c>
      <c r="Q182" s="1036"/>
      <c r="R182" s="1035">
        <f t="shared" si="26"/>
        <v>100000</v>
      </c>
      <c r="S182" s="1035"/>
    </row>
    <row r="183" spans="1:19">
      <c r="A183" s="836">
        <v>6171</v>
      </c>
      <c r="B183" s="837">
        <v>6121</v>
      </c>
      <c r="C183" s="838" t="s">
        <v>719</v>
      </c>
      <c r="D183" s="839">
        <v>1000000</v>
      </c>
      <c r="E183" s="839">
        <v>200000</v>
      </c>
      <c r="F183" s="839"/>
      <c r="G183" s="839" t="e">
        <f>#REF!</f>
        <v>#REF!</v>
      </c>
      <c r="H183" s="839" t="e">
        <f t="shared" si="22"/>
        <v>#REF!</v>
      </c>
      <c r="I183" s="839" t="e">
        <f>#REF!</f>
        <v>#REF!</v>
      </c>
      <c r="J183" s="839">
        <v>1200000</v>
      </c>
      <c r="K183" s="839"/>
      <c r="L183" s="839"/>
      <c r="M183" s="842"/>
      <c r="N183" s="842"/>
      <c r="O183" s="842"/>
      <c r="P183" s="842">
        <v>3500000</v>
      </c>
      <c r="Q183" s="1036">
        <v>20000000</v>
      </c>
      <c r="R183" s="1035">
        <f t="shared" si="26"/>
        <v>23500000</v>
      </c>
      <c r="S183" s="1035">
        <v>-700000</v>
      </c>
    </row>
    <row r="184" spans="1:19" hidden="1">
      <c r="A184" s="836">
        <v>6171</v>
      </c>
      <c r="B184" s="837">
        <v>6122</v>
      </c>
      <c r="C184" s="838" t="s">
        <v>721</v>
      </c>
      <c r="D184" s="839"/>
      <c r="E184" s="839"/>
      <c r="F184" s="839"/>
      <c r="G184" s="839"/>
      <c r="H184" s="839"/>
      <c r="I184" s="839"/>
      <c r="J184" s="839"/>
      <c r="K184" s="839"/>
      <c r="L184" s="839"/>
      <c r="M184" s="842"/>
      <c r="N184" s="842"/>
      <c r="O184" s="842">
        <v>300000</v>
      </c>
      <c r="P184" s="842"/>
      <c r="Q184" s="1036"/>
      <c r="R184" s="1035"/>
      <c r="S184" s="1035"/>
    </row>
    <row r="185" spans="1:19" hidden="1">
      <c r="A185" s="773">
        <v>6310</v>
      </c>
      <c r="B185" s="772">
        <v>5141</v>
      </c>
      <c r="C185" s="785" t="s">
        <v>722</v>
      </c>
      <c r="D185" s="784">
        <v>200000</v>
      </c>
      <c r="E185" s="784">
        <v>200000</v>
      </c>
      <c r="F185" s="784">
        <v>99018.94</v>
      </c>
      <c r="G185" s="784">
        <f>4*11000</f>
        <v>44000</v>
      </c>
      <c r="H185" s="784">
        <f t="shared" si="22"/>
        <v>143018.94</v>
      </c>
      <c r="I185" s="784">
        <f>12*10500</f>
        <v>126000</v>
      </c>
      <c r="J185" s="803"/>
      <c r="K185" s="784">
        <v>103446</v>
      </c>
      <c r="L185" s="784">
        <v>126000</v>
      </c>
      <c r="M185" s="825">
        <v>110000</v>
      </c>
      <c r="N185" s="825">
        <v>110000</v>
      </c>
      <c r="O185" s="825">
        <v>60000</v>
      </c>
      <c r="P185" s="825">
        <v>70000</v>
      </c>
      <c r="Q185" s="1036"/>
      <c r="R185" s="1035">
        <f>SUM(P185:Q185)</f>
        <v>70000</v>
      </c>
      <c r="S185" s="1035"/>
    </row>
    <row r="186" spans="1:19">
      <c r="A186" s="773">
        <v>6310</v>
      </c>
      <c r="B186" s="772">
        <v>5163</v>
      </c>
      <c r="C186" s="785" t="s">
        <v>723</v>
      </c>
      <c r="D186" s="784">
        <v>20000</v>
      </c>
      <c r="E186" s="784">
        <v>20000</v>
      </c>
      <c r="F186" s="784">
        <v>10436.4</v>
      </c>
      <c r="G186" s="784">
        <f t="shared" si="25"/>
        <v>9563.6</v>
      </c>
      <c r="H186" s="784">
        <f t="shared" si="22"/>
        <v>20000</v>
      </c>
      <c r="I186" s="784">
        <f>H186</f>
        <v>20000</v>
      </c>
      <c r="J186" s="803"/>
      <c r="K186" s="784">
        <v>5410</v>
      </c>
      <c r="L186" s="784">
        <v>15000</v>
      </c>
      <c r="M186" s="825">
        <v>10000</v>
      </c>
      <c r="N186" s="825">
        <v>10000</v>
      </c>
      <c r="O186" s="825">
        <v>10000</v>
      </c>
      <c r="P186" s="825">
        <v>10000</v>
      </c>
      <c r="Q186" s="1036"/>
      <c r="R186" s="1035">
        <f>SUM(P186:Q186)</f>
        <v>10000</v>
      </c>
      <c r="S186" s="1035">
        <v>2000</v>
      </c>
    </row>
    <row r="187" spans="1:19" hidden="1">
      <c r="A187" s="773">
        <v>6310</v>
      </c>
      <c r="B187" s="772">
        <v>5362</v>
      </c>
      <c r="C187" s="785" t="s">
        <v>724</v>
      </c>
      <c r="D187" s="784">
        <v>600000</v>
      </c>
      <c r="E187" s="784">
        <v>600000</v>
      </c>
      <c r="F187" s="784">
        <v>202083</v>
      </c>
      <c r="G187" s="784">
        <f t="shared" si="25"/>
        <v>397917</v>
      </c>
      <c r="H187" s="784">
        <f t="shared" si="22"/>
        <v>600000</v>
      </c>
      <c r="I187" s="784">
        <f>H187</f>
        <v>600000</v>
      </c>
      <c r="J187" s="803"/>
      <c r="K187" s="784">
        <v>85109</v>
      </c>
      <c r="L187" s="784">
        <v>300000</v>
      </c>
      <c r="M187" s="825">
        <v>270000</v>
      </c>
      <c r="N187" s="825">
        <v>270000</v>
      </c>
      <c r="O187" s="825">
        <v>120000</v>
      </c>
      <c r="P187" s="825">
        <v>200000</v>
      </c>
      <c r="Q187" s="1036"/>
      <c r="R187" s="1035">
        <f>SUM(P187:Q187)</f>
        <v>200000</v>
      </c>
      <c r="S187" s="1035"/>
    </row>
    <row r="188" spans="1:19">
      <c r="A188" s="773">
        <v>6399</v>
      </c>
      <c r="B188" s="772">
        <v>5362</v>
      </c>
      <c r="C188" s="785" t="s">
        <v>725</v>
      </c>
      <c r="D188" s="784">
        <v>200000</v>
      </c>
      <c r="E188" s="784">
        <v>200000</v>
      </c>
      <c r="F188" s="784"/>
      <c r="G188" s="784">
        <f t="shared" si="25"/>
        <v>200000</v>
      </c>
      <c r="H188" s="784">
        <f t="shared" si="22"/>
        <v>200000</v>
      </c>
      <c r="I188" s="784">
        <f>H188</f>
        <v>200000</v>
      </c>
      <c r="J188" s="809">
        <v>-200000</v>
      </c>
      <c r="K188" s="784"/>
      <c r="L188" s="784">
        <v>200000</v>
      </c>
      <c r="M188" s="825">
        <v>620007</v>
      </c>
      <c r="N188" s="825">
        <v>600000</v>
      </c>
      <c r="O188" s="825">
        <v>87000</v>
      </c>
      <c r="P188" s="825">
        <v>100000</v>
      </c>
      <c r="Q188" s="1036"/>
      <c r="R188" s="1035">
        <f>SUM(P188:Q188)</f>
        <v>100000</v>
      </c>
      <c r="S188" s="1035">
        <v>108000</v>
      </c>
    </row>
    <row r="189" spans="1:19">
      <c r="A189" s="1114" t="s">
        <v>726</v>
      </c>
      <c r="B189" s="1115"/>
      <c r="C189" s="1115"/>
      <c r="D189" s="849">
        <f t="shared" ref="D189:N189" si="27">SUM(D70:D188)</f>
        <v>43881900</v>
      </c>
      <c r="E189" s="849">
        <f t="shared" si="27"/>
        <v>46585900</v>
      </c>
      <c r="F189" s="849">
        <f t="shared" si="27"/>
        <v>33123496.800000001</v>
      </c>
      <c r="G189" s="849" t="e">
        <f t="shared" si="27"/>
        <v>#REF!</v>
      </c>
      <c r="H189" s="849" t="e">
        <f t="shared" si="27"/>
        <v>#REF!</v>
      </c>
      <c r="I189" s="849" t="e">
        <f t="shared" si="27"/>
        <v>#REF!</v>
      </c>
      <c r="J189" s="1046">
        <f t="shared" si="27"/>
        <v>-238851</v>
      </c>
      <c r="K189" s="849">
        <f t="shared" si="27"/>
        <v>14623430</v>
      </c>
      <c r="L189" s="849" t="e">
        <f t="shared" si="27"/>
        <v>#REF!</v>
      </c>
      <c r="M189" s="852">
        <f t="shared" si="27"/>
        <v>19701107</v>
      </c>
      <c r="N189" s="852">
        <f t="shared" si="27"/>
        <v>35689100</v>
      </c>
      <c r="O189" s="1047">
        <f>SUM(O69:O188)</f>
        <v>32750895</v>
      </c>
      <c r="P189" s="1047">
        <f>SUM(P69:P188)</f>
        <v>101033000</v>
      </c>
      <c r="Q189" s="1048">
        <f>SUM(Q69:Q188)</f>
        <v>35382687.469999999</v>
      </c>
      <c r="R189" s="1049">
        <f>SUM(P189:Q189)</f>
        <v>136415687.47</v>
      </c>
      <c r="S189" s="1049">
        <f>SUM(S69:S188)</f>
        <v>264100</v>
      </c>
    </row>
    <row r="190" spans="1:19" hidden="1">
      <c r="A190" s="1042"/>
      <c r="B190" s="1050">
        <v>8124</v>
      </c>
      <c r="C190" s="1051" t="s">
        <v>1238</v>
      </c>
      <c r="D190" s="1042"/>
      <c r="E190" s="1042"/>
      <c r="F190" s="1042"/>
      <c r="G190" s="1042"/>
      <c r="H190" s="1042"/>
      <c r="I190" s="1042"/>
      <c r="J190" s="1042"/>
      <c r="K190" s="1042"/>
      <c r="L190" s="1042"/>
      <c r="M190" s="1042"/>
      <c r="N190" s="1042"/>
      <c r="O190" s="1042"/>
      <c r="P190" s="828">
        <v>1500000</v>
      </c>
      <c r="Q190" s="1042"/>
      <c r="R190" s="1044">
        <v>1500000</v>
      </c>
      <c r="S190" s="1044"/>
    </row>
    <row r="191" spans="1:19">
      <c r="A191" s="1111" t="s">
        <v>1239</v>
      </c>
      <c r="B191" s="1112"/>
      <c r="C191" s="1113"/>
      <c r="D191" s="1042"/>
      <c r="E191" s="1042"/>
      <c r="F191" s="1042"/>
      <c r="G191" s="1042"/>
      <c r="H191" s="1042"/>
      <c r="I191" s="1042"/>
      <c r="J191" s="1042"/>
      <c r="K191" s="1042"/>
      <c r="L191" s="1042"/>
      <c r="M191" s="1042"/>
      <c r="N191" s="1042"/>
      <c r="O191" s="1042"/>
      <c r="P191" s="1041">
        <f>SUM(P189:P190)</f>
        <v>102533000</v>
      </c>
      <c r="Q191" s="1044">
        <f>SUM(Q189:Q190)</f>
        <v>35382687.469999999</v>
      </c>
      <c r="R191" s="1044">
        <f>SUM(R189:R190)</f>
        <v>137915687.47</v>
      </c>
      <c r="S191" s="1044">
        <f>SUM(S189:S190)</f>
        <v>264100</v>
      </c>
    </row>
  </sheetData>
  <mergeCells count="7">
    <mergeCell ref="A191:C191"/>
    <mergeCell ref="A25:C25"/>
    <mergeCell ref="A44:C44"/>
    <mergeCell ref="A45:C45"/>
    <mergeCell ref="A46:C46"/>
    <mergeCell ref="A50:C50"/>
    <mergeCell ref="A189:C189"/>
  </mergeCells>
  <pageMargins left="0.7" right="0.7" top="0.78740157499999996" bottom="0.78740157499999996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A8AC0-7E2E-4FE2-8E6A-1C6F3F6B8AE2}">
  <dimension ref="A1:V195"/>
  <sheetViews>
    <sheetView tabSelected="1" workbookViewId="0">
      <selection activeCell="A129" sqref="A129:XFD141"/>
    </sheetView>
  </sheetViews>
  <sheetFormatPr baseColWidth="10" defaultColWidth="8.83203125" defaultRowHeight="13"/>
  <cols>
    <col min="3" max="3" width="34.5" customWidth="1"/>
    <col min="4" max="15" width="0" hidden="1" customWidth="1"/>
    <col min="16" max="16" width="17.5" customWidth="1"/>
    <col min="17" max="17" width="13.33203125" hidden="1" customWidth="1"/>
    <col min="18" max="18" width="20.6640625" customWidth="1"/>
    <col min="19" max="19" width="13.5" hidden="1" customWidth="1"/>
    <col min="20" max="20" width="15.83203125" customWidth="1"/>
    <col min="21" max="21" width="13.6640625" style="150" customWidth="1"/>
    <col min="22" max="22" width="18.1640625" style="150" customWidth="1"/>
  </cols>
  <sheetData>
    <row r="1" spans="1:22" ht="17" thickBot="1">
      <c r="A1" s="808" t="s">
        <v>1249</v>
      </c>
      <c r="B1" s="770"/>
      <c r="C1" s="780"/>
      <c r="D1" s="780"/>
      <c r="E1" s="780"/>
      <c r="F1" s="780"/>
      <c r="G1" s="780"/>
      <c r="H1" s="780"/>
      <c r="I1" s="780"/>
      <c r="J1" s="781"/>
      <c r="K1" s="780"/>
      <c r="L1" s="780"/>
      <c r="O1" s="826"/>
      <c r="P1" s="826"/>
      <c r="Q1" s="150"/>
      <c r="R1" s="150"/>
      <c r="S1" s="150"/>
    </row>
    <row r="2" spans="1:22" ht="37" thickBot="1">
      <c r="A2" s="796" t="s">
        <v>532</v>
      </c>
      <c r="B2" s="775" t="s">
        <v>376</v>
      </c>
      <c r="C2" s="774" t="s">
        <v>533</v>
      </c>
      <c r="D2" s="776" t="s">
        <v>534</v>
      </c>
      <c r="E2" s="776" t="s">
        <v>535</v>
      </c>
      <c r="F2" s="776" t="s">
        <v>536</v>
      </c>
      <c r="G2" s="776" t="s">
        <v>537</v>
      </c>
      <c r="H2" s="776" t="s">
        <v>538</v>
      </c>
      <c r="I2" s="800" t="s">
        <v>539</v>
      </c>
      <c r="J2" s="816" t="s">
        <v>540</v>
      </c>
      <c r="K2" s="800" t="s">
        <v>541</v>
      </c>
      <c r="L2" s="800">
        <v>2022</v>
      </c>
      <c r="M2" s="861" t="s">
        <v>542</v>
      </c>
      <c r="N2" s="861" t="s">
        <v>543</v>
      </c>
      <c r="O2" s="886" t="s">
        <v>544</v>
      </c>
      <c r="P2" s="1005" t="s">
        <v>1229</v>
      </c>
      <c r="Q2" s="1032" t="s">
        <v>1227</v>
      </c>
      <c r="R2" s="1078" t="s">
        <v>1248</v>
      </c>
      <c r="S2" s="1057" t="s">
        <v>1232</v>
      </c>
      <c r="T2" s="1058" t="s">
        <v>1241</v>
      </c>
      <c r="U2" s="1057" t="s">
        <v>1242</v>
      </c>
      <c r="V2" s="1077" t="s">
        <v>1247</v>
      </c>
    </row>
    <row r="3" spans="1:22" hidden="1">
      <c r="A3" s="942"/>
      <c r="B3" s="943">
        <v>1111</v>
      </c>
      <c r="C3" s="790" t="s">
        <v>546</v>
      </c>
      <c r="D3" s="944">
        <v>4000000</v>
      </c>
      <c r="E3" s="944">
        <v>4000000</v>
      </c>
      <c r="F3" s="944">
        <v>2830187.77</v>
      </c>
      <c r="G3" s="944">
        <f>E3-F3+1184607</f>
        <v>2354419.23</v>
      </c>
      <c r="H3" s="944">
        <f>G3+F3</f>
        <v>5184607</v>
      </c>
      <c r="I3" s="945">
        <f>H3-2348647</f>
        <v>2835960</v>
      </c>
      <c r="J3" s="803"/>
      <c r="K3" s="945">
        <v>2776178</v>
      </c>
      <c r="L3" s="945">
        <v>2850000</v>
      </c>
      <c r="M3" s="825">
        <v>3400000</v>
      </c>
      <c r="N3" s="825">
        <v>3500000</v>
      </c>
      <c r="O3" s="825">
        <v>4443000</v>
      </c>
      <c r="P3" s="1006">
        <v>5000000</v>
      </c>
      <c r="Q3" s="1033"/>
      <c r="R3" s="1015">
        <f t="shared" ref="R3:R15" si="0">SUM(P3:Q3)</f>
        <v>5000000</v>
      </c>
      <c r="S3" s="1059"/>
      <c r="T3" s="1030">
        <f t="shared" ref="T3:T18" si="1">SUM(R3:S3)</f>
        <v>5000000</v>
      </c>
      <c r="U3" s="1059"/>
      <c r="V3" s="1030">
        <f t="shared" ref="V3:V18" si="2">SUM(T3:U3)</f>
        <v>5000000</v>
      </c>
    </row>
    <row r="4" spans="1:22" hidden="1">
      <c r="A4" s="773"/>
      <c r="B4" s="772">
        <v>1112</v>
      </c>
      <c r="C4" s="785" t="s">
        <v>548</v>
      </c>
      <c r="D4" s="784">
        <v>100000</v>
      </c>
      <c r="E4" s="784">
        <v>100000</v>
      </c>
      <c r="F4" s="784">
        <v>33015.269999999997</v>
      </c>
      <c r="G4" s="784">
        <v>44769</v>
      </c>
      <c r="H4" s="784">
        <f t="shared" ref="H4:H22" si="3">G4+F4</f>
        <v>77784.26999999999</v>
      </c>
      <c r="I4" s="802">
        <f t="shared" ref="I4:I22" si="4">H4</f>
        <v>77784.26999999999</v>
      </c>
      <c r="J4" s="803"/>
      <c r="K4" s="802">
        <v>141012</v>
      </c>
      <c r="L4" s="802">
        <v>150000</v>
      </c>
      <c r="M4" s="825">
        <v>300000</v>
      </c>
      <c r="N4" s="825">
        <v>400000</v>
      </c>
      <c r="O4" s="825">
        <v>330000</v>
      </c>
      <c r="P4" s="1006">
        <v>350000</v>
      </c>
      <c r="Q4" s="1033"/>
      <c r="R4" s="1015">
        <f t="shared" si="0"/>
        <v>350000</v>
      </c>
      <c r="S4" s="1059"/>
      <c r="T4" s="1030">
        <f t="shared" si="1"/>
        <v>350000</v>
      </c>
      <c r="U4" s="1059"/>
      <c r="V4" s="1030">
        <f t="shared" si="2"/>
        <v>350000</v>
      </c>
    </row>
    <row r="5" spans="1:22" hidden="1">
      <c r="A5" s="773"/>
      <c r="B5" s="772">
        <v>1113</v>
      </c>
      <c r="C5" s="785" t="s">
        <v>550</v>
      </c>
      <c r="D5" s="784">
        <v>390000</v>
      </c>
      <c r="E5" s="784">
        <v>390000</v>
      </c>
      <c r="F5" s="784">
        <v>262113.18</v>
      </c>
      <c r="G5" s="784">
        <f>E5-F5+96150</f>
        <v>224036.82</v>
      </c>
      <c r="H5" s="784">
        <f t="shared" si="3"/>
        <v>486150</v>
      </c>
      <c r="I5" s="802">
        <f t="shared" si="4"/>
        <v>486150</v>
      </c>
      <c r="J5" s="803"/>
      <c r="K5" s="802">
        <v>502179</v>
      </c>
      <c r="L5" s="802">
        <v>530000</v>
      </c>
      <c r="M5" s="825">
        <v>750000</v>
      </c>
      <c r="N5" s="825">
        <v>800000</v>
      </c>
      <c r="O5" s="825">
        <v>1100000</v>
      </c>
      <c r="P5" s="1006">
        <v>1100000</v>
      </c>
      <c r="Q5" s="1033"/>
      <c r="R5" s="1015">
        <f t="shared" si="0"/>
        <v>1100000</v>
      </c>
      <c r="S5" s="1059"/>
      <c r="T5" s="1030">
        <f t="shared" si="1"/>
        <v>1100000</v>
      </c>
      <c r="U5" s="1059"/>
      <c r="V5" s="1030">
        <f t="shared" si="2"/>
        <v>1100000</v>
      </c>
    </row>
    <row r="6" spans="1:22" hidden="1">
      <c r="A6" s="773"/>
      <c r="B6" s="772">
        <v>1121</v>
      </c>
      <c r="C6" s="785" t="s">
        <v>552</v>
      </c>
      <c r="D6" s="784">
        <v>3600000</v>
      </c>
      <c r="E6" s="784">
        <v>3600000</v>
      </c>
      <c r="F6" s="784">
        <v>1915530.56</v>
      </c>
      <c r="G6" s="784">
        <f>E6-F6-600000+33576</f>
        <v>1118045.44</v>
      </c>
      <c r="H6" s="784">
        <f t="shared" si="3"/>
        <v>3033576</v>
      </c>
      <c r="I6" s="802">
        <f t="shared" si="4"/>
        <v>3033576</v>
      </c>
      <c r="J6" s="803"/>
      <c r="K6" s="802">
        <v>4519174</v>
      </c>
      <c r="L6" s="802">
        <v>4600000</v>
      </c>
      <c r="M6" s="825">
        <v>5800000</v>
      </c>
      <c r="N6" s="825">
        <v>5800000</v>
      </c>
      <c r="O6" s="825">
        <v>7600000</v>
      </c>
      <c r="P6" s="1006">
        <v>8000000</v>
      </c>
      <c r="Q6" s="1033"/>
      <c r="R6" s="1015">
        <f t="shared" si="0"/>
        <v>8000000</v>
      </c>
      <c r="S6" s="1059"/>
      <c r="T6" s="1030">
        <f t="shared" si="1"/>
        <v>8000000</v>
      </c>
      <c r="U6" s="1059"/>
      <c r="V6" s="1030">
        <f t="shared" si="2"/>
        <v>8000000</v>
      </c>
    </row>
    <row r="7" spans="1:22" hidden="1">
      <c r="A7" s="773"/>
      <c r="B7" s="772">
        <v>1122</v>
      </c>
      <c r="C7" s="785" t="s">
        <v>553</v>
      </c>
      <c r="D7" s="784"/>
      <c r="E7" s="784"/>
      <c r="F7" s="784"/>
      <c r="G7" s="784"/>
      <c r="H7" s="784"/>
      <c r="I7" s="802"/>
      <c r="J7" s="803"/>
      <c r="K7" s="802"/>
      <c r="L7" s="802">
        <v>200000</v>
      </c>
      <c r="M7" s="825">
        <v>620007</v>
      </c>
      <c r="N7" s="825">
        <v>600000</v>
      </c>
      <c r="O7" s="825">
        <v>87000</v>
      </c>
      <c r="P7" s="1006">
        <v>100000</v>
      </c>
      <c r="Q7" s="1033"/>
      <c r="R7" s="1015">
        <f t="shared" si="0"/>
        <v>100000</v>
      </c>
      <c r="S7" s="1059">
        <v>108000</v>
      </c>
      <c r="T7" s="1030">
        <f t="shared" si="1"/>
        <v>208000</v>
      </c>
      <c r="U7" s="1059"/>
      <c r="V7" s="1030">
        <f t="shared" si="2"/>
        <v>208000</v>
      </c>
    </row>
    <row r="8" spans="1:22" hidden="1">
      <c r="A8" s="773"/>
      <c r="B8" s="772">
        <v>1211</v>
      </c>
      <c r="C8" s="785" t="s">
        <v>554</v>
      </c>
      <c r="D8" s="784">
        <v>7700000</v>
      </c>
      <c r="E8" s="784">
        <v>7700000</v>
      </c>
      <c r="F8" s="784">
        <v>6046376.75</v>
      </c>
      <c r="G8" s="784">
        <f>E8-F8+2400000+60535</f>
        <v>4114158.25</v>
      </c>
      <c r="H8" s="784">
        <f t="shared" si="3"/>
        <v>10160535</v>
      </c>
      <c r="I8" s="802">
        <f t="shared" si="4"/>
        <v>10160535</v>
      </c>
      <c r="J8" s="803"/>
      <c r="K8" s="802">
        <v>8931306</v>
      </c>
      <c r="L8" s="802">
        <v>9500000</v>
      </c>
      <c r="M8" s="825">
        <v>13000000</v>
      </c>
      <c r="N8" s="825">
        <v>13500000</v>
      </c>
      <c r="O8" s="825">
        <v>15700000</v>
      </c>
      <c r="P8" s="1006">
        <v>16500000</v>
      </c>
      <c r="Q8" s="1033"/>
      <c r="R8" s="1015">
        <f t="shared" si="0"/>
        <v>16500000</v>
      </c>
      <c r="S8" s="1059"/>
      <c r="T8" s="1030">
        <f t="shared" si="1"/>
        <v>16500000</v>
      </c>
      <c r="U8" s="1059"/>
      <c r="V8" s="1030">
        <f t="shared" si="2"/>
        <v>16500000</v>
      </c>
    </row>
    <row r="9" spans="1:22" hidden="1">
      <c r="A9" s="773"/>
      <c r="B9" s="772">
        <v>1334</v>
      </c>
      <c r="C9" s="785" t="s">
        <v>555</v>
      </c>
      <c r="D9" s="784"/>
      <c r="E9" s="784">
        <v>4000</v>
      </c>
      <c r="F9" s="784">
        <v>3689.68</v>
      </c>
      <c r="G9" s="784">
        <f t="shared" ref="G9:G22" si="5">E9-F9</f>
        <v>310.32000000000016</v>
      </c>
      <c r="H9" s="784">
        <f t="shared" si="3"/>
        <v>4000</v>
      </c>
      <c r="I9" s="802">
        <f t="shared" si="4"/>
        <v>4000</v>
      </c>
      <c r="J9" s="803"/>
      <c r="K9" s="802">
        <v>2013</v>
      </c>
      <c r="L9" s="802">
        <v>4000</v>
      </c>
      <c r="M9" s="825">
        <v>29000</v>
      </c>
      <c r="N9" s="825">
        <v>20000</v>
      </c>
      <c r="O9" s="825">
        <v>2000</v>
      </c>
      <c r="P9" s="1006">
        <v>2000</v>
      </c>
      <c r="Q9" s="1033"/>
      <c r="R9" s="1015">
        <f t="shared" si="0"/>
        <v>2000</v>
      </c>
      <c r="S9" s="1059">
        <v>3000</v>
      </c>
      <c r="T9" s="1030">
        <f t="shared" si="1"/>
        <v>5000</v>
      </c>
      <c r="U9" s="1059"/>
      <c r="V9" s="1030">
        <f t="shared" si="2"/>
        <v>5000</v>
      </c>
    </row>
    <row r="10" spans="1:22" hidden="1">
      <c r="A10" s="773"/>
      <c r="B10" s="772">
        <v>1341</v>
      </c>
      <c r="C10" s="785" t="s">
        <v>556</v>
      </c>
      <c r="D10" s="784">
        <v>78000</v>
      </c>
      <c r="E10" s="784">
        <v>78000</v>
      </c>
      <c r="F10" s="784">
        <v>72700</v>
      </c>
      <c r="G10" s="784">
        <f t="shared" si="5"/>
        <v>5300</v>
      </c>
      <c r="H10" s="784">
        <f t="shared" si="3"/>
        <v>78000</v>
      </c>
      <c r="I10" s="802">
        <f t="shared" si="4"/>
        <v>78000</v>
      </c>
      <c r="J10" s="803">
        <v>4000</v>
      </c>
      <c r="K10" s="802">
        <v>85050</v>
      </c>
      <c r="L10" s="802">
        <v>86000</v>
      </c>
      <c r="M10" s="825">
        <v>91000</v>
      </c>
      <c r="N10" s="825">
        <v>91000</v>
      </c>
      <c r="O10" s="825">
        <v>85000</v>
      </c>
      <c r="P10" s="1006">
        <v>85000</v>
      </c>
      <c r="Q10" s="1033"/>
      <c r="R10" s="1015">
        <f t="shared" si="0"/>
        <v>85000</v>
      </c>
      <c r="S10" s="1059"/>
      <c r="T10" s="1030">
        <f t="shared" si="1"/>
        <v>85000</v>
      </c>
      <c r="U10" s="1059"/>
      <c r="V10" s="1030">
        <f t="shared" si="2"/>
        <v>85000</v>
      </c>
    </row>
    <row r="11" spans="1:22" hidden="1">
      <c r="A11" s="773"/>
      <c r="B11" s="772">
        <v>1342</v>
      </c>
      <c r="C11" s="785" t="s">
        <v>557</v>
      </c>
      <c r="D11" s="784">
        <v>2000</v>
      </c>
      <c r="E11" s="784">
        <v>3500</v>
      </c>
      <c r="F11" s="784">
        <v>3500</v>
      </c>
      <c r="G11" s="784">
        <f t="shared" si="5"/>
        <v>0</v>
      </c>
      <c r="H11" s="784">
        <f t="shared" si="3"/>
        <v>3500</v>
      </c>
      <c r="I11" s="802">
        <f t="shared" si="4"/>
        <v>3500</v>
      </c>
      <c r="J11" s="803">
        <v>3500</v>
      </c>
      <c r="K11" s="802">
        <v>7000</v>
      </c>
      <c r="L11" s="802">
        <v>7000</v>
      </c>
      <c r="M11" s="825">
        <v>0</v>
      </c>
      <c r="N11" s="825">
        <v>5000</v>
      </c>
      <c r="O11" s="825">
        <v>0</v>
      </c>
      <c r="P11" s="1006">
        <v>5000</v>
      </c>
      <c r="Q11" s="1033"/>
      <c r="R11" s="1015">
        <f t="shared" si="0"/>
        <v>5000</v>
      </c>
      <c r="S11" s="1059"/>
      <c r="T11" s="1030">
        <f t="shared" si="1"/>
        <v>5000</v>
      </c>
      <c r="U11" s="1059"/>
      <c r="V11" s="1030">
        <f t="shared" si="2"/>
        <v>5000</v>
      </c>
    </row>
    <row r="12" spans="1:22" hidden="1">
      <c r="A12" s="773"/>
      <c r="B12" s="772">
        <v>1343</v>
      </c>
      <c r="C12" s="785" t="s">
        <v>558</v>
      </c>
      <c r="D12" s="784">
        <v>40000</v>
      </c>
      <c r="E12" s="784">
        <v>40000</v>
      </c>
      <c r="F12" s="784">
        <v>18730</v>
      </c>
      <c r="G12" s="946">
        <f t="shared" si="5"/>
        <v>21270</v>
      </c>
      <c r="H12" s="784">
        <f t="shared" si="3"/>
        <v>40000</v>
      </c>
      <c r="I12" s="802">
        <f t="shared" si="4"/>
        <v>40000</v>
      </c>
      <c r="J12" s="803"/>
      <c r="K12" s="802">
        <v>37853</v>
      </c>
      <c r="L12" s="802">
        <v>40000</v>
      </c>
      <c r="M12" s="825">
        <v>45000</v>
      </c>
      <c r="N12" s="825">
        <v>45000</v>
      </c>
      <c r="O12" s="825">
        <v>35000</v>
      </c>
      <c r="P12" s="1006">
        <v>30000</v>
      </c>
      <c r="Q12" s="1033"/>
      <c r="R12" s="1015">
        <f t="shared" si="0"/>
        <v>30000</v>
      </c>
      <c r="S12" s="1059"/>
      <c r="T12" s="1030">
        <f t="shared" si="1"/>
        <v>30000</v>
      </c>
      <c r="U12" s="1059"/>
      <c r="V12" s="1030">
        <f t="shared" si="2"/>
        <v>30000</v>
      </c>
    </row>
    <row r="13" spans="1:22" hidden="1">
      <c r="A13" s="773"/>
      <c r="B13" s="772">
        <v>1345</v>
      </c>
      <c r="C13" s="785" t="s">
        <v>559</v>
      </c>
      <c r="D13" s="784"/>
      <c r="E13" s="784"/>
      <c r="F13" s="784"/>
      <c r="G13" s="946"/>
      <c r="H13" s="784"/>
      <c r="I13" s="802"/>
      <c r="J13" s="803"/>
      <c r="K13" s="802"/>
      <c r="L13" s="802"/>
      <c r="M13" s="825">
        <v>2170000</v>
      </c>
      <c r="N13" s="825">
        <v>2480000</v>
      </c>
      <c r="O13" s="825">
        <v>2600000</v>
      </c>
      <c r="P13" s="1006">
        <v>2800000</v>
      </c>
      <c r="Q13" s="1033"/>
      <c r="R13" s="1015">
        <f t="shared" si="0"/>
        <v>2800000</v>
      </c>
      <c r="S13" s="1059"/>
      <c r="T13" s="1030">
        <f t="shared" si="1"/>
        <v>2800000</v>
      </c>
      <c r="U13" s="1059"/>
      <c r="V13" s="1030">
        <f t="shared" si="2"/>
        <v>2800000</v>
      </c>
    </row>
    <row r="14" spans="1:22" hidden="1">
      <c r="A14" s="773"/>
      <c r="B14" s="772">
        <v>1361</v>
      </c>
      <c r="C14" s="785" t="s">
        <v>560</v>
      </c>
      <c r="D14" s="784">
        <v>13000</v>
      </c>
      <c r="E14" s="784">
        <v>13000</v>
      </c>
      <c r="F14" s="784">
        <v>7797</v>
      </c>
      <c r="G14" s="784">
        <f t="shared" si="5"/>
        <v>5203</v>
      </c>
      <c r="H14" s="784">
        <f t="shared" si="3"/>
        <v>13000</v>
      </c>
      <c r="I14" s="802">
        <f t="shared" si="4"/>
        <v>13000</v>
      </c>
      <c r="J14" s="803"/>
      <c r="K14" s="802">
        <v>12340</v>
      </c>
      <c r="L14" s="802">
        <v>13000</v>
      </c>
      <c r="M14" s="825">
        <v>10000</v>
      </c>
      <c r="N14" s="825">
        <v>10000</v>
      </c>
      <c r="O14" s="825">
        <v>10000</v>
      </c>
      <c r="P14" s="1006">
        <v>10000</v>
      </c>
      <c r="Q14" s="1033"/>
      <c r="R14" s="1015">
        <f t="shared" si="0"/>
        <v>10000</v>
      </c>
      <c r="S14" s="1059"/>
      <c r="T14" s="1030">
        <f t="shared" si="1"/>
        <v>10000</v>
      </c>
      <c r="U14" s="1059"/>
      <c r="V14" s="1030">
        <f t="shared" si="2"/>
        <v>10000</v>
      </c>
    </row>
    <row r="15" spans="1:22" hidden="1">
      <c r="A15" s="773"/>
      <c r="B15" s="772">
        <v>1381</v>
      </c>
      <c r="C15" s="785" t="s">
        <v>561</v>
      </c>
      <c r="D15" s="784">
        <v>60000</v>
      </c>
      <c r="E15" s="784">
        <v>70000</v>
      </c>
      <c r="F15" s="784">
        <v>91684.6</v>
      </c>
      <c r="G15" s="946">
        <f>100000-F15</f>
        <v>8315.3999999999942</v>
      </c>
      <c r="H15" s="784">
        <f>G15+F15</f>
        <v>100000</v>
      </c>
      <c r="I15" s="802">
        <f t="shared" si="4"/>
        <v>100000</v>
      </c>
      <c r="J15" s="803"/>
      <c r="K15" s="802">
        <v>140881</v>
      </c>
      <c r="L15" s="802">
        <v>150000</v>
      </c>
      <c r="M15" s="825">
        <v>170000</v>
      </c>
      <c r="N15" s="825">
        <v>180000</v>
      </c>
      <c r="O15" s="825">
        <v>185000</v>
      </c>
      <c r="P15" s="1006">
        <v>185000</v>
      </c>
      <c r="Q15" s="1033"/>
      <c r="R15" s="1015">
        <f t="shared" si="0"/>
        <v>185000</v>
      </c>
      <c r="S15" s="1059"/>
      <c r="T15" s="1030">
        <f t="shared" si="1"/>
        <v>185000</v>
      </c>
      <c r="U15" s="1059"/>
      <c r="V15" s="1030">
        <f t="shared" si="2"/>
        <v>185000</v>
      </c>
    </row>
    <row r="16" spans="1:22" hidden="1">
      <c r="A16" s="773"/>
      <c r="B16" s="772">
        <v>1386</v>
      </c>
      <c r="C16" s="785" t="s">
        <v>561</v>
      </c>
      <c r="D16" s="784"/>
      <c r="E16" s="784"/>
      <c r="F16" s="784"/>
      <c r="G16" s="946"/>
      <c r="H16" s="784"/>
      <c r="I16" s="802"/>
      <c r="J16" s="803"/>
      <c r="K16" s="802"/>
      <c r="L16" s="802"/>
      <c r="M16" s="825"/>
      <c r="N16" s="825"/>
      <c r="O16" s="825"/>
      <c r="P16" s="1006"/>
      <c r="Q16" s="1033"/>
      <c r="R16" s="1015"/>
      <c r="S16" s="1059">
        <v>100000</v>
      </c>
      <c r="T16" s="1030">
        <f t="shared" si="1"/>
        <v>100000</v>
      </c>
      <c r="U16" s="1059"/>
      <c r="V16" s="1030">
        <f t="shared" si="2"/>
        <v>100000</v>
      </c>
    </row>
    <row r="17" spans="1:22" hidden="1">
      <c r="A17" s="773"/>
      <c r="B17" s="772">
        <v>1387</v>
      </c>
      <c r="C17" s="785" t="s">
        <v>1234</v>
      </c>
      <c r="D17" s="784"/>
      <c r="E17" s="784"/>
      <c r="F17" s="784"/>
      <c r="G17" s="946"/>
      <c r="H17" s="784"/>
      <c r="I17" s="802"/>
      <c r="J17" s="803"/>
      <c r="K17" s="802"/>
      <c r="L17" s="802"/>
      <c r="M17" s="825"/>
      <c r="N17" s="825"/>
      <c r="O17" s="825"/>
      <c r="P17" s="1006"/>
      <c r="Q17" s="1033"/>
      <c r="R17" s="1015"/>
      <c r="S17" s="1059">
        <v>100000</v>
      </c>
      <c r="T17" s="1030">
        <f t="shared" si="1"/>
        <v>100000</v>
      </c>
      <c r="U17" s="1059"/>
      <c r="V17" s="1030">
        <f t="shared" si="2"/>
        <v>100000</v>
      </c>
    </row>
    <row r="18" spans="1:22" hidden="1">
      <c r="A18" s="773"/>
      <c r="B18" s="772">
        <v>1511</v>
      </c>
      <c r="C18" s="785" t="s">
        <v>562</v>
      </c>
      <c r="D18" s="784">
        <v>600000</v>
      </c>
      <c r="E18" s="784">
        <v>600000</v>
      </c>
      <c r="F18" s="784">
        <v>519740.61</v>
      </c>
      <c r="G18" s="784">
        <f t="shared" si="5"/>
        <v>80259.390000000014</v>
      </c>
      <c r="H18" s="784">
        <f t="shared" si="3"/>
        <v>600000</v>
      </c>
      <c r="I18" s="802">
        <f t="shared" si="4"/>
        <v>600000</v>
      </c>
      <c r="J18" s="803"/>
      <c r="K18" s="802">
        <v>532696</v>
      </c>
      <c r="L18" s="802">
        <v>600000</v>
      </c>
      <c r="M18" s="825">
        <v>550000</v>
      </c>
      <c r="N18" s="825">
        <v>550000</v>
      </c>
      <c r="O18" s="825">
        <v>550000</v>
      </c>
      <c r="P18" s="1006">
        <v>990000</v>
      </c>
      <c r="Q18" s="1033"/>
      <c r="R18" s="1015">
        <f>SUM(P18:Q18)</f>
        <v>990000</v>
      </c>
      <c r="S18" s="1059"/>
      <c r="T18" s="1030">
        <f t="shared" si="1"/>
        <v>990000</v>
      </c>
      <c r="U18" s="1074"/>
      <c r="V18" s="1030">
        <f t="shared" si="2"/>
        <v>990000</v>
      </c>
    </row>
    <row r="19" spans="1:22" ht="14" hidden="1" thickBot="1">
      <c r="A19" s="777" t="s">
        <v>563</v>
      </c>
      <c r="B19" s="778"/>
      <c r="C19" s="779"/>
      <c r="D19" s="782">
        <f t="shared" ref="D19:I19" si="6">SUM(D3:D18)</f>
        <v>16583000</v>
      </c>
      <c r="E19" s="782">
        <f t="shared" si="6"/>
        <v>16598500</v>
      </c>
      <c r="F19" s="782">
        <f t="shared" si="6"/>
        <v>11805065.42</v>
      </c>
      <c r="G19" s="782">
        <f t="shared" si="6"/>
        <v>7976086.8500000006</v>
      </c>
      <c r="H19" s="782">
        <f t="shared" si="6"/>
        <v>19781152.27</v>
      </c>
      <c r="I19" s="801">
        <f t="shared" si="6"/>
        <v>17432505.27</v>
      </c>
      <c r="J19" s="864"/>
      <c r="K19" s="801">
        <f t="shared" ref="K19:P19" si="7">SUM(K3:K18)</f>
        <v>17687682</v>
      </c>
      <c r="L19" s="801">
        <f t="shared" si="7"/>
        <v>18730000</v>
      </c>
      <c r="M19" s="865">
        <f t="shared" si="7"/>
        <v>26935007</v>
      </c>
      <c r="N19" s="865">
        <f t="shared" si="7"/>
        <v>27981000</v>
      </c>
      <c r="O19" s="865">
        <f t="shared" si="7"/>
        <v>32727000</v>
      </c>
      <c r="P19" s="835">
        <f t="shared" si="7"/>
        <v>35157000</v>
      </c>
      <c r="Q19" s="1040"/>
      <c r="R19" s="1079">
        <f>SUM(R3:R18)</f>
        <v>35157000</v>
      </c>
      <c r="S19" s="1060"/>
      <c r="T19" s="1056">
        <f>SUM(T3:T18)</f>
        <v>35468000</v>
      </c>
      <c r="U19" s="1044"/>
      <c r="V19" s="1044">
        <f>SUM(V3:V18)</f>
        <v>35468000</v>
      </c>
    </row>
    <row r="20" spans="1:22">
      <c r="A20" s="942"/>
      <c r="B20" s="943">
        <v>4111</v>
      </c>
      <c r="C20" s="790" t="s">
        <v>564</v>
      </c>
      <c r="D20" s="944"/>
      <c r="E20" s="944">
        <v>2179750</v>
      </c>
      <c r="F20" s="944">
        <v>2148750</v>
      </c>
      <c r="G20" s="944">
        <f t="shared" si="5"/>
        <v>31000</v>
      </c>
      <c r="H20" s="944">
        <f t="shared" si="3"/>
        <v>2179750</v>
      </c>
      <c r="I20" s="945"/>
      <c r="J20" s="866"/>
      <c r="K20" s="945"/>
      <c r="L20" s="945"/>
      <c r="M20" s="855">
        <v>32000</v>
      </c>
      <c r="N20" s="855"/>
      <c r="O20" s="855"/>
      <c r="P20" s="1007"/>
      <c r="Q20" s="1033"/>
      <c r="R20" s="1015"/>
      <c r="S20" s="1059">
        <v>32000</v>
      </c>
      <c r="T20" s="1030">
        <f>SUM(R20:S20)</f>
        <v>32000</v>
      </c>
      <c r="U20" s="1076">
        <v>48000</v>
      </c>
      <c r="V20" s="1030">
        <f>SUM(T20:U20)</f>
        <v>80000</v>
      </c>
    </row>
    <row r="21" spans="1:22" ht="14" hidden="1" thickBot="1">
      <c r="A21" s="996"/>
      <c r="B21" s="997">
        <v>4111</v>
      </c>
      <c r="C21" s="998" t="s">
        <v>565</v>
      </c>
      <c r="D21" s="999"/>
      <c r="E21" s="999"/>
      <c r="F21" s="999"/>
      <c r="G21" s="999"/>
      <c r="H21" s="999"/>
      <c r="I21" s="1000"/>
      <c r="J21" s="1001">
        <v>56543.59</v>
      </c>
      <c r="K21" s="1000">
        <v>310545</v>
      </c>
      <c r="L21" s="1000"/>
      <c r="M21" s="992">
        <v>95000</v>
      </c>
      <c r="N21" s="992"/>
      <c r="O21" s="992"/>
      <c r="P21" s="1008"/>
      <c r="Q21" s="1033"/>
      <c r="R21" s="1015"/>
      <c r="S21" s="1059"/>
      <c r="T21" s="1030">
        <f>SUM(R21:S21)</f>
        <v>0</v>
      </c>
      <c r="U21" s="1059"/>
      <c r="V21" s="1030"/>
    </row>
    <row r="22" spans="1:22" hidden="1">
      <c r="A22" s="942"/>
      <c r="B22" s="943">
        <v>4112</v>
      </c>
      <c r="C22" s="790" t="s">
        <v>566</v>
      </c>
      <c r="D22" s="944">
        <v>342200</v>
      </c>
      <c r="E22" s="944">
        <v>368000</v>
      </c>
      <c r="F22" s="944">
        <v>245336</v>
      </c>
      <c r="G22" s="944">
        <f t="shared" si="5"/>
        <v>122664</v>
      </c>
      <c r="H22" s="944">
        <f t="shared" si="3"/>
        <v>368000</v>
      </c>
      <c r="I22" s="945">
        <f t="shared" si="4"/>
        <v>368000</v>
      </c>
      <c r="J22" s="1002">
        <v>27000</v>
      </c>
      <c r="K22" s="945">
        <v>296253</v>
      </c>
      <c r="L22" s="945">
        <v>368000</v>
      </c>
      <c r="M22" s="855">
        <v>368000</v>
      </c>
      <c r="N22" s="855">
        <v>368000</v>
      </c>
      <c r="O22" s="855">
        <v>368000</v>
      </c>
      <c r="P22" s="1007">
        <v>368000</v>
      </c>
      <c r="Q22" s="1033">
        <v>79400</v>
      </c>
      <c r="R22" s="1015">
        <f>SUM(P22:Q22)</f>
        <v>447400</v>
      </c>
      <c r="S22" s="1059"/>
      <c r="T22" s="1030">
        <f>SUM(R22:S22)</f>
        <v>447400</v>
      </c>
      <c r="U22" s="1059"/>
      <c r="V22" s="1030">
        <f>SUM(T22:U22)</f>
        <v>447400</v>
      </c>
    </row>
    <row r="23" spans="1:22">
      <c r="A23" s="947"/>
      <c r="B23" s="948">
        <v>4113</v>
      </c>
      <c r="C23" s="807" t="s">
        <v>1246</v>
      </c>
      <c r="D23" s="902"/>
      <c r="E23" s="902"/>
      <c r="F23" s="902"/>
      <c r="G23" s="902"/>
      <c r="H23" s="902"/>
      <c r="I23" s="903"/>
      <c r="J23" s="1004"/>
      <c r="K23" s="903"/>
      <c r="L23" s="903"/>
      <c r="M23" s="853"/>
      <c r="N23" s="853"/>
      <c r="O23" s="853"/>
      <c r="P23" s="1009"/>
      <c r="Q23" s="1033"/>
      <c r="R23" s="1015"/>
      <c r="S23" s="1059"/>
      <c r="T23" s="1030"/>
      <c r="U23" s="1059">
        <v>366398</v>
      </c>
      <c r="V23" s="1030">
        <f>SUM(T23:U23)</f>
        <v>366398</v>
      </c>
    </row>
    <row r="24" spans="1:22" hidden="1">
      <c r="A24" s="947"/>
      <c r="B24" s="948">
        <v>4122</v>
      </c>
      <c r="C24" s="807" t="s">
        <v>1228</v>
      </c>
      <c r="D24" s="902"/>
      <c r="E24" s="902"/>
      <c r="F24" s="902"/>
      <c r="G24" s="902"/>
      <c r="H24" s="902"/>
      <c r="I24" s="903"/>
      <c r="J24" s="1004"/>
      <c r="K24" s="903"/>
      <c r="L24" s="903"/>
      <c r="M24" s="853"/>
      <c r="N24" s="853"/>
      <c r="O24" s="853"/>
      <c r="P24" s="1009"/>
      <c r="Q24" s="1033">
        <v>1346000</v>
      </c>
      <c r="R24" s="1015">
        <f>SUM(P24:Q24)</f>
        <v>1346000</v>
      </c>
      <c r="S24" s="1059"/>
      <c r="T24" s="1030">
        <f>SUM(R24:S24)</f>
        <v>1346000</v>
      </c>
      <c r="U24" s="1059"/>
      <c r="V24" s="1030">
        <f>SUM(T24:U24)</f>
        <v>1346000</v>
      </c>
    </row>
    <row r="25" spans="1:22" hidden="1">
      <c r="A25" s="773"/>
      <c r="B25" s="772">
        <v>4222</v>
      </c>
      <c r="C25" s="949" t="s">
        <v>567</v>
      </c>
      <c r="D25" s="784"/>
      <c r="E25" s="784"/>
      <c r="F25" s="784"/>
      <c r="G25" s="950"/>
      <c r="H25" s="950"/>
      <c r="I25" s="820">
        <v>10000000</v>
      </c>
      <c r="J25" s="803"/>
      <c r="K25" s="802"/>
      <c r="L25" s="802"/>
      <c r="M25" s="825"/>
      <c r="N25" s="825"/>
      <c r="O25" s="825"/>
      <c r="P25" s="1006"/>
      <c r="Q25" s="1033"/>
      <c r="R25" s="1015"/>
      <c r="S25" s="1059"/>
      <c r="T25" s="496"/>
      <c r="U25" s="1059"/>
      <c r="V25" s="1030"/>
    </row>
    <row r="26" spans="1:22" hidden="1">
      <c r="A26" s="1097" t="s">
        <v>569</v>
      </c>
      <c r="B26" s="1098"/>
      <c r="C26" s="1098"/>
      <c r="D26" s="792">
        <f t="shared" ref="D26:I26" si="8">SUM(D20:D25)</f>
        <v>342200</v>
      </c>
      <c r="E26" s="792">
        <f t="shared" si="8"/>
        <v>2547750</v>
      </c>
      <c r="F26" s="792">
        <f t="shared" si="8"/>
        <v>2394086</v>
      </c>
      <c r="G26" s="792">
        <f t="shared" si="8"/>
        <v>153664</v>
      </c>
      <c r="H26" s="792">
        <f t="shared" si="8"/>
        <v>2547750</v>
      </c>
      <c r="I26" s="792">
        <f t="shared" si="8"/>
        <v>10368000</v>
      </c>
      <c r="J26" s="803"/>
      <c r="K26" s="792">
        <f>SUM(K21:K25)</f>
        <v>606798</v>
      </c>
      <c r="L26" s="792">
        <f>SUM(L21:L25)</f>
        <v>368000</v>
      </c>
      <c r="M26" s="827">
        <f>SUM(M20:M25)</f>
        <v>495000</v>
      </c>
      <c r="N26" s="827">
        <f>SUM(N20:N25)</f>
        <v>368000</v>
      </c>
      <c r="O26" s="827">
        <f>SUM(O20:O25)</f>
        <v>368000</v>
      </c>
      <c r="P26" s="834">
        <f>SUM(P20:P25)</f>
        <v>368000</v>
      </c>
      <c r="Q26" s="1040"/>
      <c r="R26" s="1079">
        <f>SUM(R20:R25)</f>
        <v>1793400</v>
      </c>
      <c r="S26" s="1060"/>
      <c r="T26" s="1061">
        <f>SUM(T20:T25)</f>
        <v>1825400</v>
      </c>
      <c r="U26" s="1060"/>
      <c r="V26" s="1061">
        <f>SUM(V20:V25)</f>
        <v>2239798</v>
      </c>
    </row>
    <row r="27" spans="1:22" hidden="1">
      <c r="A27" s="773">
        <v>1036</v>
      </c>
      <c r="B27" s="772">
        <v>2111</v>
      </c>
      <c r="C27" s="885" t="s">
        <v>570</v>
      </c>
      <c r="D27" s="783"/>
      <c r="E27" s="783"/>
      <c r="F27" s="783"/>
      <c r="G27" s="783"/>
      <c r="H27" s="783"/>
      <c r="I27" s="783"/>
      <c r="J27" s="803"/>
      <c r="K27" s="783"/>
      <c r="L27" s="783"/>
      <c r="M27" s="884"/>
      <c r="N27" s="884"/>
      <c r="O27" s="825">
        <v>60000</v>
      </c>
      <c r="P27" s="1006"/>
      <c r="Q27" s="1033"/>
      <c r="R27" s="1015"/>
      <c r="S27" s="1059">
        <v>3000</v>
      </c>
      <c r="T27" s="1030">
        <f>SUM(R27:S27)</f>
        <v>3000</v>
      </c>
      <c r="U27" s="1059"/>
      <c r="V27" s="1030">
        <f t="shared" ref="V27:V42" si="9">SUM(T27:U27)</f>
        <v>3000</v>
      </c>
    </row>
    <row r="28" spans="1:22" hidden="1">
      <c r="A28" s="947">
        <v>2310</v>
      </c>
      <c r="B28" s="948">
        <v>2132</v>
      </c>
      <c r="C28" s="807" t="s">
        <v>571</v>
      </c>
      <c r="D28" s="902">
        <v>40000</v>
      </c>
      <c r="E28" s="902">
        <v>40000</v>
      </c>
      <c r="F28" s="902"/>
      <c r="G28" s="902">
        <f>E28-F28</f>
        <v>40000</v>
      </c>
      <c r="H28" s="902">
        <f t="shared" ref="H28:H44" si="10">G28+F28</f>
        <v>40000</v>
      </c>
      <c r="I28" s="903">
        <f>H28</f>
        <v>40000</v>
      </c>
      <c r="J28" s="860"/>
      <c r="K28" s="903"/>
      <c r="L28" s="903">
        <v>40000</v>
      </c>
      <c r="M28" s="853">
        <v>40000</v>
      </c>
      <c r="N28" s="853">
        <v>40000</v>
      </c>
      <c r="O28" s="853">
        <v>260000</v>
      </c>
      <c r="P28" s="1009">
        <v>250000</v>
      </c>
      <c r="Q28" s="1033"/>
      <c r="R28" s="1015">
        <f>SUM(P28:Q28)</f>
        <v>250000</v>
      </c>
      <c r="S28" s="1059"/>
      <c r="T28" s="1030">
        <f t="shared" ref="T28:T41" si="11">SUM(R28:S28)</f>
        <v>250000</v>
      </c>
      <c r="U28" s="1059"/>
      <c r="V28" s="1030">
        <f t="shared" si="9"/>
        <v>250000</v>
      </c>
    </row>
    <row r="29" spans="1:22" hidden="1">
      <c r="A29" s="773">
        <v>2329</v>
      </c>
      <c r="B29" s="772">
        <v>2111</v>
      </c>
      <c r="C29" s="785" t="s">
        <v>572</v>
      </c>
      <c r="D29" s="784">
        <v>4300000</v>
      </c>
      <c r="E29" s="784">
        <v>4300000</v>
      </c>
      <c r="F29" s="784">
        <v>3712414.18</v>
      </c>
      <c r="G29" s="784">
        <f>E29-F29</f>
        <v>587585.81999999983</v>
      </c>
      <c r="H29" s="784">
        <f t="shared" si="10"/>
        <v>4300000</v>
      </c>
      <c r="I29" s="802">
        <f>H29</f>
        <v>4300000</v>
      </c>
      <c r="J29" s="803"/>
      <c r="K29" s="802">
        <v>2205174</v>
      </c>
      <c r="L29" s="802">
        <v>4300000</v>
      </c>
      <c r="M29" s="825">
        <v>4400000</v>
      </c>
      <c r="N29" s="825">
        <v>4400000</v>
      </c>
      <c r="O29" s="825">
        <v>4400000</v>
      </c>
      <c r="P29" s="1006">
        <v>5000000</v>
      </c>
      <c r="Q29" s="1033"/>
      <c r="R29" s="1015">
        <f>SUM(P29:Q29)</f>
        <v>5000000</v>
      </c>
      <c r="S29" s="1059"/>
      <c r="T29" s="1030">
        <f t="shared" si="11"/>
        <v>5000000</v>
      </c>
      <c r="U29" s="1059"/>
      <c r="V29" s="1030">
        <f t="shared" si="9"/>
        <v>5000000</v>
      </c>
    </row>
    <row r="30" spans="1:22" hidden="1">
      <c r="A30" s="773">
        <v>3111</v>
      </c>
      <c r="B30" s="772">
        <v>2111</v>
      </c>
      <c r="C30" s="785" t="s">
        <v>573</v>
      </c>
      <c r="D30" s="784"/>
      <c r="E30" s="784"/>
      <c r="F30" s="784"/>
      <c r="G30" s="784"/>
      <c r="H30" s="784"/>
      <c r="I30" s="802"/>
      <c r="J30" s="803"/>
      <c r="K30" s="802">
        <v>11437</v>
      </c>
      <c r="L30" s="802">
        <v>30000</v>
      </c>
      <c r="M30" s="825">
        <v>40000</v>
      </c>
      <c r="N30" s="825">
        <v>40000</v>
      </c>
      <c r="O30" s="825">
        <v>40000</v>
      </c>
      <c r="P30" s="1006">
        <v>40000</v>
      </c>
      <c r="Q30" s="1033"/>
      <c r="R30" s="1015">
        <f>SUM(P30:Q30)</f>
        <v>40000</v>
      </c>
      <c r="S30" s="1059"/>
      <c r="T30" s="1030">
        <f t="shared" si="11"/>
        <v>40000</v>
      </c>
      <c r="U30" s="1059"/>
      <c r="V30" s="1030">
        <f t="shared" si="9"/>
        <v>40000</v>
      </c>
    </row>
    <row r="31" spans="1:22" hidden="1">
      <c r="A31" s="773">
        <v>3613</v>
      </c>
      <c r="B31" s="772">
        <v>2132</v>
      </c>
      <c r="C31" s="785" t="s">
        <v>574</v>
      </c>
      <c r="D31" s="784">
        <v>10000</v>
      </c>
      <c r="E31" s="784">
        <v>10000</v>
      </c>
      <c r="F31" s="784">
        <v>2000</v>
      </c>
      <c r="G31" s="784">
        <f>E31-F31</f>
        <v>8000</v>
      </c>
      <c r="H31" s="784">
        <f>G31+F31</f>
        <v>10000</v>
      </c>
      <c r="I31" s="802">
        <f t="shared" ref="I31:I44" si="12">H31</f>
        <v>10000</v>
      </c>
      <c r="J31" s="803"/>
      <c r="K31" s="802">
        <v>10000</v>
      </c>
      <c r="L31" s="802">
        <v>10000</v>
      </c>
      <c r="M31" s="825">
        <v>20000</v>
      </c>
      <c r="N31" s="825">
        <v>20000</v>
      </c>
      <c r="O31" s="825">
        <v>21000</v>
      </c>
      <c r="P31" s="1006">
        <v>20000</v>
      </c>
      <c r="Q31" s="1033"/>
      <c r="R31" s="1015">
        <f>SUM(P31:Q31)</f>
        <v>20000</v>
      </c>
      <c r="S31" s="1059"/>
      <c r="T31" s="1030">
        <f t="shared" si="11"/>
        <v>20000</v>
      </c>
      <c r="U31" s="1059"/>
      <c r="V31" s="1030">
        <f t="shared" si="9"/>
        <v>20000</v>
      </c>
    </row>
    <row r="32" spans="1:22" hidden="1">
      <c r="A32" s="773">
        <v>3631</v>
      </c>
      <c r="B32" s="772">
        <v>2111</v>
      </c>
      <c r="C32" s="785" t="s">
        <v>575</v>
      </c>
      <c r="D32" s="784"/>
      <c r="E32" s="784">
        <v>20000</v>
      </c>
      <c r="F32" s="784">
        <v>34000</v>
      </c>
      <c r="G32" s="784">
        <v>0</v>
      </c>
      <c r="H32" s="784">
        <f>G32+F32</f>
        <v>34000</v>
      </c>
      <c r="I32" s="802">
        <f t="shared" si="12"/>
        <v>34000</v>
      </c>
      <c r="J32" s="803">
        <v>155000</v>
      </c>
      <c r="K32" s="802">
        <v>198000</v>
      </c>
      <c r="L32" s="802"/>
      <c r="M32" s="825">
        <v>10000</v>
      </c>
      <c r="N32" s="825"/>
      <c r="O32" s="825"/>
      <c r="P32" s="1006"/>
      <c r="Q32" s="1033"/>
      <c r="R32" s="1015">
        <f>SUM(P32:Q32)</f>
        <v>0</v>
      </c>
      <c r="S32" s="1059"/>
      <c r="T32" s="1030">
        <f t="shared" si="11"/>
        <v>0</v>
      </c>
      <c r="U32" s="1059"/>
      <c r="V32" s="1030">
        <f t="shared" si="9"/>
        <v>0</v>
      </c>
    </row>
    <row r="33" spans="1:22" hidden="1">
      <c r="A33" s="773">
        <v>3639</v>
      </c>
      <c r="B33" s="772">
        <v>2119</v>
      </c>
      <c r="C33" s="785" t="s">
        <v>576</v>
      </c>
      <c r="D33" s="784"/>
      <c r="E33" s="784"/>
      <c r="F33" s="784"/>
      <c r="G33" s="784"/>
      <c r="H33" s="784"/>
      <c r="I33" s="802"/>
      <c r="J33" s="803"/>
      <c r="K33" s="802"/>
      <c r="L33" s="802"/>
      <c r="M33" s="825"/>
      <c r="N33" s="825"/>
      <c r="O33" s="825">
        <v>27000</v>
      </c>
      <c r="P33" s="1006"/>
      <c r="Q33" s="1033"/>
      <c r="R33" s="1015"/>
      <c r="S33" s="1059">
        <v>10000</v>
      </c>
      <c r="T33" s="1030">
        <f t="shared" si="11"/>
        <v>10000</v>
      </c>
      <c r="U33" s="1059"/>
      <c r="V33" s="1030">
        <f t="shared" si="9"/>
        <v>10000</v>
      </c>
    </row>
    <row r="34" spans="1:22" hidden="1">
      <c r="A34" s="773">
        <v>3639</v>
      </c>
      <c r="B34" s="772">
        <v>2131</v>
      </c>
      <c r="C34" s="785" t="s">
        <v>577</v>
      </c>
      <c r="D34" s="784"/>
      <c r="E34" s="784">
        <v>218000</v>
      </c>
      <c r="F34" s="784">
        <v>217922</v>
      </c>
      <c r="G34" s="784">
        <f>E34-F34</f>
        <v>78</v>
      </c>
      <c r="H34" s="784">
        <f t="shared" si="10"/>
        <v>218000</v>
      </c>
      <c r="I34" s="802">
        <f t="shared" si="12"/>
        <v>218000</v>
      </c>
      <c r="J34" s="803"/>
      <c r="K34" s="802"/>
      <c r="L34" s="802"/>
      <c r="M34" s="825">
        <v>15000</v>
      </c>
      <c r="N34" s="825"/>
      <c r="O34" s="825">
        <v>9000</v>
      </c>
      <c r="P34" s="1006"/>
      <c r="Q34" s="1033"/>
      <c r="R34" s="1015"/>
      <c r="S34" s="1059">
        <v>2000</v>
      </c>
      <c r="T34" s="1030">
        <f t="shared" si="11"/>
        <v>2000</v>
      </c>
      <c r="U34" s="1059"/>
      <c r="V34" s="1030">
        <f t="shared" si="9"/>
        <v>2000</v>
      </c>
    </row>
    <row r="35" spans="1:22" hidden="1">
      <c r="A35" s="892">
        <v>3639</v>
      </c>
      <c r="B35" s="893">
        <v>3111</v>
      </c>
      <c r="C35" s="894" t="s">
        <v>578</v>
      </c>
      <c r="D35" s="895"/>
      <c r="E35" s="895"/>
      <c r="F35" s="895"/>
      <c r="G35" s="895"/>
      <c r="H35" s="895"/>
      <c r="I35" s="896"/>
      <c r="J35" s="897"/>
      <c r="K35" s="896"/>
      <c r="L35" s="896"/>
      <c r="M35" s="898"/>
      <c r="N35" s="898"/>
      <c r="O35" s="898"/>
      <c r="P35" s="1010">
        <v>24000000</v>
      </c>
      <c r="Q35" s="1033"/>
      <c r="R35" s="1015">
        <f>SUM(P35:Q35)</f>
        <v>24000000</v>
      </c>
      <c r="S35" s="1059"/>
      <c r="T35" s="1030">
        <f t="shared" si="11"/>
        <v>24000000</v>
      </c>
      <c r="U35" s="1059"/>
      <c r="V35" s="1030">
        <f t="shared" si="9"/>
        <v>24000000</v>
      </c>
    </row>
    <row r="36" spans="1:22">
      <c r="A36" s="773">
        <v>3725</v>
      </c>
      <c r="B36" s="772">
        <v>2111</v>
      </c>
      <c r="C36" s="785" t="s">
        <v>580</v>
      </c>
      <c r="D36" s="784">
        <v>320000</v>
      </c>
      <c r="E36" s="784">
        <v>320000</v>
      </c>
      <c r="F36" s="784">
        <v>233974</v>
      </c>
      <c r="G36" s="784">
        <f>E36-F36</f>
        <v>86026</v>
      </c>
      <c r="H36" s="784">
        <f t="shared" si="10"/>
        <v>320000</v>
      </c>
      <c r="I36" s="802">
        <f t="shared" si="12"/>
        <v>320000</v>
      </c>
      <c r="J36" s="803"/>
      <c r="K36" s="802">
        <v>266159</v>
      </c>
      <c r="L36" s="802">
        <v>320000</v>
      </c>
      <c r="M36" s="825">
        <v>320000</v>
      </c>
      <c r="N36" s="825">
        <v>400000</v>
      </c>
      <c r="O36" s="825">
        <v>400000</v>
      </c>
      <c r="P36" s="1006">
        <v>450000</v>
      </c>
      <c r="Q36" s="1033"/>
      <c r="R36" s="1015">
        <f>SUM(P36:Q36)</f>
        <v>450000</v>
      </c>
      <c r="S36" s="1059"/>
      <c r="T36" s="1030">
        <f t="shared" si="11"/>
        <v>450000</v>
      </c>
      <c r="U36" s="1059">
        <v>30000</v>
      </c>
      <c r="V36" s="1030">
        <f t="shared" si="9"/>
        <v>480000</v>
      </c>
    </row>
    <row r="37" spans="1:22" hidden="1">
      <c r="A37" s="773">
        <v>3726</v>
      </c>
      <c r="B37" s="772">
        <v>2111</v>
      </c>
      <c r="C37" s="785" t="s">
        <v>581</v>
      </c>
      <c r="D37" s="784">
        <v>260000</v>
      </c>
      <c r="E37" s="784">
        <v>320000</v>
      </c>
      <c r="F37" s="784">
        <v>322156</v>
      </c>
      <c r="G37" s="784">
        <v>0</v>
      </c>
      <c r="H37" s="784">
        <f t="shared" si="10"/>
        <v>322156</v>
      </c>
      <c r="I37" s="802">
        <v>400000</v>
      </c>
      <c r="J37" s="803">
        <v>5000</v>
      </c>
      <c r="K37" s="802">
        <v>421161</v>
      </c>
      <c r="L37" s="802">
        <v>430000</v>
      </c>
      <c r="M37" s="825">
        <v>470000</v>
      </c>
      <c r="N37" s="825">
        <v>480000</v>
      </c>
      <c r="O37" s="825">
        <v>490000</v>
      </c>
      <c r="P37" s="1006">
        <v>530000</v>
      </c>
      <c r="Q37" s="1033"/>
      <c r="R37" s="1015">
        <f>SUM(P37:Q37)</f>
        <v>530000</v>
      </c>
      <c r="S37" s="1059"/>
      <c r="T37" s="1030">
        <f t="shared" si="11"/>
        <v>530000</v>
      </c>
      <c r="U37" s="1059"/>
      <c r="V37" s="1030">
        <f t="shared" si="9"/>
        <v>530000</v>
      </c>
    </row>
    <row r="38" spans="1:22" hidden="1">
      <c r="A38" s="773">
        <v>6171</v>
      </c>
      <c r="B38" s="772">
        <v>2111</v>
      </c>
      <c r="C38" s="785" t="s">
        <v>582</v>
      </c>
      <c r="D38" s="784">
        <v>1000</v>
      </c>
      <c r="E38" s="784">
        <v>4500</v>
      </c>
      <c r="F38" s="784">
        <v>14412</v>
      </c>
      <c r="G38" s="784">
        <v>0</v>
      </c>
      <c r="H38" s="784">
        <f t="shared" si="10"/>
        <v>14412</v>
      </c>
      <c r="I38" s="802">
        <f t="shared" si="12"/>
        <v>14412</v>
      </c>
      <c r="J38" s="803"/>
      <c r="K38" s="802">
        <v>3034</v>
      </c>
      <c r="L38" s="802">
        <v>5000</v>
      </c>
      <c r="M38" s="825">
        <v>6000</v>
      </c>
      <c r="N38" s="825">
        <v>5000</v>
      </c>
      <c r="O38" s="825">
        <v>2000</v>
      </c>
      <c r="P38" s="1006">
        <v>5000</v>
      </c>
      <c r="Q38" s="1033"/>
      <c r="R38" s="1015">
        <f>SUM(P38:Q38)</f>
        <v>5000</v>
      </c>
      <c r="S38" s="1059"/>
      <c r="T38" s="1030">
        <f t="shared" si="11"/>
        <v>5000</v>
      </c>
      <c r="U38" s="1059"/>
      <c r="V38" s="1030">
        <f t="shared" si="9"/>
        <v>5000</v>
      </c>
    </row>
    <row r="39" spans="1:22" hidden="1">
      <c r="A39" s="773">
        <v>6171</v>
      </c>
      <c r="B39" s="772">
        <v>2112</v>
      </c>
      <c r="C39" s="785" t="s">
        <v>583</v>
      </c>
      <c r="D39" s="784">
        <v>5000</v>
      </c>
      <c r="E39" s="784">
        <v>5000</v>
      </c>
      <c r="F39" s="784">
        <v>3850</v>
      </c>
      <c r="G39" s="784">
        <f>E39-F39</f>
        <v>1150</v>
      </c>
      <c r="H39" s="784">
        <f t="shared" si="10"/>
        <v>5000</v>
      </c>
      <c r="I39" s="802">
        <f t="shared" si="12"/>
        <v>5000</v>
      </c>
      <c r="J39" s="803"/>
      <c r="K39" s="802">
        <v>3862</v>
      </c>
      <c r="L39" s="802">
        <v>5000</v>
      </c>
      <c r="M39" s="825">
        <v>39000</v>
      </c>
      <c r="N39" s="825">
        <v>5000</v>
      </c>
      <c r="O39" s="825">
        <v>2000</v>
      </c>
      <c r="P39" s="1006">
        <v>2000</v>
      </c>
      <c r="Q39" s="1033"/>
      <c r="R39" s="1015">
        <f>SUM(P39:Q39)</f>
        <v>2000</v>
      </c>
      <c r="S39" s="1059"/>
      <c r="T39" s="1030">
        <f t="shared" si="11"/>
        <v>2000</v>
      </c>
      <c r="U39" s="1059"/>
      <c r="V39" s="1030">
        <f t="shared" si="9"/>
        <v>2000</v>
      </c>
    </row>
    <row r="40" spans="1:22" hidden="1">
      <c r="A40" s="773">
        <v>6171</v>
      </c>
      <c r="B40" s="772">
        <v>2132</v>
      </c>
      <c r="C40" s="785" t="s">
        <v>584</v>
      </c>
      <c r="D40" s="784">
        <v>2000</v>
      </c>
      <c r="E40" s="784">
        <v>2000</v>
      </c>
      <c r="F40" s="784"/>
      <c r="G40" s="784">
        <f>E40-F40</f>
        <v>2000</v>
      </c>
      <c r="H40" s="784">
        <f>G40+F40</f>
        <v>2000</v>
      </c>
      <c r="I40" s="802">
        <f t="shared" si="12"/>
        <v>2000</v>
      </c>
      <c r="J40" s="803"/>
      <c r="K40" s="802">
        <v>1212</v>
      </c>
      <c r="L40" s="802">
        <v>2000</v>
      </c>
      <c r="M40" s="825"/>
      <c r="N40" s="825"/>
      <c r="O40" s="825"/>
      <c r="P40" s="1006"/>
      <c r="Q40" s="1033"/>
      <c r="R40" s="1015"/>
      <c r="S40" s="1059"/>
      <c r="T40" s="1030">
        <f t="shared" si="11"/>
        <v>0</v>
      </c>
      <c r="U40" s="1059"/>
      <c r="V40" s="1030">
        <f t="shared" si="9"/>
        <v>0</v>
      </c>
    </row>
    <row r="41" spans="1:22" hidden="1">
      <c r="A41" s="773">
        <v>6171</v>
      </c>
      <c r="B41" s="772">
        <v>2212</v>
      </c>
      <c r="C41" s="785" t="s">
        <v>585</v>
      </c>
      <c r="D41" s="784"/>
      <c r="E41" s="784">
        <v>500</v>
      </c>
      <c r="F41" s="784">
        <v>1500</v>
      </c>
      <c r="G41" s="784">
        <v>0</v>
      </c>
      <c r="H41" s="784">
        <f t="shared" si="10"/>
        <v>1500</v>
      </c>
      <c r="I41" s="802">
        <f t="shared" si="12"/>
        <v>1500</v>
      </c>
      <c r="J41" s="803"/>
      <c r="K41" s="802">
        <v>5000</v>
      </c>
      <c r="L41" s="802">
        <v>1500</v>
      </c>
      <c r="M41" s="825"/>
      <c r="N41" s="825">
        <v>2000</v>
      </c>
      <c r="O41" s="825">
        <v>1000</v>
      </c>
      <c r="P41" s="1006">
        <v>10000</v>
      </c>
      <c r="Q41" s="1033"/>
      <c r="R41" s="1015">
        <f>SUM(P41:Q41)</f>
        <v>10000</v>
      </c>
      <c r="S41" s="1059"/>
      <c r="T41" s="1030">
        <f t="shared" si="11"/>
        <v>10000</v>
      </c>
      <c r="U41" s="1059"/>
      <c r="V41" s="1030">
        <f t="shared" si="9"/>
        <v>10000</v>
      </c>
    </row>
    <row r="42" spans="1:22" hidden="1">
      <c r="A42" s="773">
        <v>6171</v>
      </c>
      <c r="B42" s="772">
        <v>2324</v>
      </c>
      <c r="C42" s="785" t="s">
        <v>1235</v>
      </c>
      <c r="D42" s="784"/>
      <c r="E42" s="784"/>
      <c r="F42" s="784"/>
      <c r="G42" s="784"/>
      <c r="H42" s="784"/>
      <c r="I42" s="802"/>
      <c r="J42" s="803"/>
      <c r="K42" s="802"/>
      <c r="L42" s="802"/>
      <c r="M42" s="825"/>
      <c r="N42" s="825"/>
      <c r="O42" s="825"/>
      <c r="P42" s="1006"/>
      <c r="Q42" s="1033"/>
      <c r="R42" s="1015"/>
      <c r="S42" s="1059">
        <v>118000</v>
      </c>
      <c r="T42" s="496">
        <v>118000</v>
      </c>
      <c r="U42" s="1059"/>
      <c r="V42" s="1030">
        <f t="shared" si="9"/>
        <v>118000</v>
      </c>
    </row>
    <row r="43" spans="1:22" hidden="1">
      <c r="A43" s="892">
        <v>6171</v>
      </c>
      <c r="B43" s="893">
        <v>3113</v>
      </c>
      <c r="C43" s="894" t="s">
        <v>586</v>
      </c>
      <c r="D43" s="895"/>
      <c r="E43" s="895"/>
      <c r="F43" s="895"/>
      <c r="G43" s="895"/>
      <c r="H43" s="895"/>
      <c r="I43" s="896"/>
      <c r="J43" s="897"/>
      <c r="K43" s="896"/>
      <c r="L43" s="896"/>
      <c r="M43" s="898"/>
      <c r="N43" s="898"/>
      <c r="O43" s="898"/>
      <c r="P43" s="1010"/>
      <c r="Q43" s="1033"/>
      <c r="R43" s="1015"/>
      <c r="S43" s="1059"/>
      <c r="T43" s="496"/>
      <c r="U43" s="1059"/>
      <c r="V43" s="1030"/>
    </row>
    <row r="44" spans="1:22">
      <c r="A44" s="773">
        <v>6310</v>
      </c>
      <c r="B44" s="772">
        <v>2141</v>
      </c>
      <c r="C44" s="785" t="s">
        <v>587</v>
      </c>
      <c r="D44" s="784">
        <v>500</v>
      </c>
      <c r="E44" s="784">
        <v>500</v>
      </c>
      <c r="F44" s="784"/>
      <c r="G44" s="784">
        <f>E44-F44</f>
        <v>500</v>
      </c>
      <c r="H44" s="784">
        <f t="shared" si="10"/>
        <v>500</v>
      </c>
      <c r="I44" s="802">
        <f t="shared" si="12"/>
        <v>500</v>
      </c>
      <c r="J44" s="803"/>
      <c r="K44" s="802"/>
      <c r="L44" s="802">
        <v>500</v>
      </c>
      <c r="M44" s="825">
        <v>930000</v>
      </c>
      <c r="N44" s="825">
        <v>1872000</v>
      </c>
      <c r="O44" s="825">
        <v>2300000</v>
      </c>
      <c r="P44" s="1006">
        <v>1500000</v>
      </c>
      <c r="Q44" s="1033"/>
      <c r="R44" s="1015">
        <f>SUM(P44:Q44)</f>
        <v>1500000</v>
      </c>
      <c r="S44" s="1059"/>
      <c r="T44" s="1030">
        <f>SUM(R44:S44)</f>
        <v>1500000</v>
      </c>
      <c r="U44" s="1059">
        <v>200000</v>
      </c>
      <c r="V44" s="1030">
        <f>SUM(T44:U44)</f>
        <v>1700000</v>
      </c>
    </row>
    <row r="45" spans="1:22" hidden="1">
      <c r="A45" s="1099" t="s">
        <v>588</v>
      </c>
      <c r="B45" s="1100"/>
      <c r="C45" s="1101"/>
      <c r="D45" s="849">
        <f t="shared" ref="D45:I45" si="13">SUM(D28:D44)</f>
        <v>4938500</v>
      </c>
      <c r="E45" s="849">
        <f t="shared" si="13"/>
        <v>5240500</v>
      </c>
      <c r="F45" s="951">
        <f t="shared" si="13"/>
        <v>4542228.18</v>
      </c>
      <c r="G45" s="951">
        <f t="shared" si="13"/>
        <v>725339.81999999983</v>
      </c>
      <c r="H45" s="951">
        <f t="shared" si="13"/>
        <v>5267568</v>
      </c>
      <c r="I45" s="850">
        <f t="shared" si="13"/>
        <v>5345412</v>
      </c>
      <c r="J45" s="851"/>
      <c r="K45" s="850">
        <f t="shared" ref="K45:N45" si="14">SUM(K28:K44)</f>
        <v>3125039</v>
      </c>
      <c r="L45" s="850">
        <f t="shared" si="14"/>
        <v>5144000</v>
      </c>
      <c r="M45" s="852">
        <f t="shared" si="14"/>
        <v>6290000</v>
      </c>
      <c r="N45" s="852">
        <f t="shared" si="14"/>
        <v>7264000</v>
      </c>
      <c r="O45" s="852">
        <f>SUM(O27:O44)</f>
        <v>8012000</v>
      </c>
      <c r="P45" s="1011">
        <f>SUM(P27:P44)-P35-P43</f>
        <v>7807000</v>
      </c>
      <c r="Q45" s="1040"/>
      <c r="R45" s="1079"/>
      <c r="S45" s="1060"/>
      <c r="T45" s="1061">
        <f>SUM(T27:T44)-T35-T43</f>
        <v>7940000</v>
      </c>
      <c r="U45" s="1060"/>
      <c r="V45" s="1061">
        <f>SUM(V27:V44)-V35-V43</f>
        <v>8170000</v>
      </c>
    </row>
    <row r="46" spans="1:22" ht="14" hidden="1" thickBot="1">
      <c r="A46" s="1102" t="s">
        <v>589</v>
      </c>
      <c r="B46" s="1103"/>
      <c r="C46" s="1104"/>
      <c r="D46" s="782" t="e">
        <f>#REF!</f>
        <v>#REF!</v>
      </c>
      <c r="E46" s="782" t="e">
        <f>#REF!</f>
        <v>#REF!</v>
      </c>
      <c r="F46" s="782" t="e">
        <f>#REF!</f>
        <v>#REF!</v>
      </c>
      <c r="G46" s="782" t="e">
        <f>#REF!</f>
        <v>#REF!</v>
      </c>
      <c r="H46" s="782" t="e">
        <f>G46+F46</f>
        <v>#REF!</v>
      </c>
      <c r="I46" s="791" t="e">
        <f>#REF!</f>
        <v>#REF!</v>
      </c>
      <c r="J46" s="857"/>
      <c r="K46" s="791"/>
      <c r="L46" s="822"/>
      <c r="M46" s="858"/>
      <c r="N46" s="858">
        <f>N35+N43</f>
        <v>0</v>
      </c>
      <c r="O46" s="858">
        <f>O35+O43</f>
        <v>0</v>
      </c>
      <c r="P46" s="1012">
        <f>P35+P43</f>
        <v>24000000</v>
      </c>
      <c r="Q46" s="1040"/>
      <c r="R46" s="1079"/>
      <c r="S46" s="1060"/>
      <c r="T46" s="1061">
        <f>T35+T43</f>
        <v>24000000</v>
      </c>
      <c r="U46" s="1060"/>
      <c r="V46" s="1061">
        <f>V35+V43</f>
        <v>24000000</v>
      </c>
    </row>
    <row r="47" spans="1:22" ht="14" hidden="1" thickBot="1">
      <c r="A47" s="1105" t="s">
        <v>590</v>
      </c>
      <c r="B47" s="1106"/>
      <c r="C47" s="1107"/>
      <c r="D47" s="793" t="e">
        <f t="shared" ref="D47:I47" si="15">D19+D26+D45+D46</f>
        <v>#REF!</v>
      </c>
      <c r="E47" s="793" t="e">
        <f t="shared" si="15"/>
        <v>#REF!</v>
      </c>
      <c r="F47" s="793" t="e">
        <f t="shared" si="15"/>
        <v>#REF!</v>
      </c>
      <c r="G47" s="793" t="e">
        <f t="shared" si="15"/>
        <v>#REF!</v>
      </c>
      <c r="H47" s="793" t="e">
        <f t="shared" si="15"/>
        <v>#REF!</v>
      </c>
      <c r="I47" s="794" t="e">
        <f t="shared" si="15"/>
        <v>#REF!</v>
      </c>
      <c r="J47" s="814"/>
      <c r="K47" s="794">
        <f>K19+K26+K45</f>
        <v>21419519</v>
      </c>
      <c r="L47" s="823">
        <f>L19+L26+L45</f>
        <v>24242000</v>
      </c>
      <c r="M47" s="865">
        <f>M19+M26+M45+M46</f>
        <v>33720007</v>
      </c>
      <c r="N47" s="865">
        <f>N19+N26+N45+N46</f>
        <v>35613000</v>
      </c>
      <c r="O47" s="858">
        <f>O19+O26+O45+O46</f>
        <v>41107000</v>
      </c>
      <c r="P47" s="1012">
        <f>P19+P26+P45+P46</f>
        <v>67332000</v>
      </c>
      <c r="Q47" s="1040">
        <f>SUM(Q3:Q46)</f>
        <v>1425400</v>
      </c>
      <c r="R47" s="1080">
        <f>SUM(P47:Q47)</f>
        <v>68757400</v>
      </c>
      <c r="S47" s="1060">
        <f>SUM(S3:S46)</f>
        <v>476000</v>
      </c>
      <c r="T47" s="1061">
        <f>SUM(R47:S47)</f>
        <v>69233400</v>
      </c>
      <c r="U47" s="1060"/>
      <c r="V47" s="1061">
        <f>SUM(T47:U47)</f>
        <v>69233400</v>
      </c>
    </row>
    <row r="48" spans="1:22" ht="14" hidden="1" thickBot="1">
      <c r="A48" s="952"/>
      <c r="B48" s="952"/>
      <c r="C48" s="788"/>
      <c r="D48" s="787"/>
      <c r="E48" s="787"/>
      <c r="F48" s="787"/>
      <c r="G48" s="953"/>
      <c r="H48" s="954"/>
      <c r="I48" s="954"/>
      <c r="J48" s="795"/>
      <c r="K48" s="954"/>
      <c r="L48" s="954"/>
      <c r="M48" s="826"/>
      <c r="N48" s="826"/>
      <c r="O48" s="826"/>
      <c r="P48" s="826"/>
      <c r="Q48" s="1033"/>
      <c r="R48" s="1081"/>
      <c r="S48" s="1074"/>
      <c r="T48" s="501"/>
      <c r="U48" s="1074"/>
      <c r="V48" s="1075"/>
    </row>
    <row r="49" spans="1:22" ht="36" hidden="1">
      <c r="A49" s="867"/>
      <c r="B49" s="955">
        <v>8123</v>
      </c>
      <c r="C49" s="868" t="s">
        <v>591</v>
      </c>
      <c r="D49" s="869"/>
      <c r="E49" s="869"/>
      <c r="F49" s="869"/>
      <c r="G49" s="869"/>
      <c r="H49" s="869"/>
      <c r="I49" s="869"/>
      <c r="J49" s="854" t="s">
        <v>592</v>
      </c>
      <c r="K49" s="869"/>
      <c r="L49" s="870"/>
      <c r="M49" s="871"/>
      <c r="N49" s="871"/>
      <c r="O49" s="855"/>
      <c r="P49" s="1007"/>
      <c r="Q49" s="1033"/>
      <c r="R49" s="1082"/>
      <c r="S49" s="1064"/>
      <c r="T49" s="493"/>
      <c r="U49" s="1064"/>
      <c r="V49" s="1029"/>
    </row>
    <row r="50" spans="1:22" ht="14" thickBot="1">
      <c r="A50" s="872">
        <v>8115</v>
      </c>
      <c r="B50" s="873">
        <v>8115</v>
      </c>
      <c r="C50" s="874" t="s">
        <v>593</v>
      </c>
      <c r="D50" s="875">
        <f>11600200+10650000+200000+850000</f>
        <v>23300200</v>
      </c>
      <c r="E50" s="875">
        <v>25571150</v>
      </c>
      <c r="F50" s="875">
        <f>16406358.89+45150</f>
        <v>16451508.890000001</v>
      </c>
      <c r="G50" s="875" t="e">
        <f>-(G47-G201)</f>
        <v>#REF!</v>
      </c>
      <c r="H50" s="875" t="e">
        <f>-(H47-H201)</f>
        <v>#REF!</v>
      </c>
      <c r="I50" s="875" t="e">
        <f>-(I47-I201)</f>
        <v>#REF!</v>
      </c>
      <c r="J50" s="864">
        <v>-51105.41</v>
      </c>
      <c r="K50" s="875"/>
      <c r="L50" s="875">
        <v>11233929</v>
      </c>
      <c r="M50" s="876">
        <f>M201-M47</f>
        <v>-33720007</v>
      </c>
      <c r="N50" s="876">
        <f>N201-N47</f>
        <v>-35613000</v>
      </c>
      <c r="O50" s="876">
        <v>-6856105</v>
      </c>
      <c r="P50" s="1013">
        <f>33991000+1210000</f>
        <v>35201000</v>
      </c>
      <c r="Q50" s="1033">
        <v>33957287.469999999</v>
      </c>
      <c r="R50" s="1015">
        <f>SUM(P50:Q50)</f>
        <v>69158287.469999999</v>
      </c>
      <c r="S50" s="1059">
        <v>-211900</v>
      </c>
      <c r="T50" s="1030">
        <f>SUM(R50:S50)</f>
        <v>68946387.469999999</v>
      </c>
      <c r="U50" s="1059">
        <f>-586398+251200</f>
        <v>-335198</v>
      </c>
      <c r="V50" s="1030">
        <f>SUM(T50:U50)</f>
        <v>68611189.469999999</v>
      </c>
    </row>
    <row r="51" spans="1:22" ht="14" thickBot="1">
      <c r="A51" s="1108" t="s">
        <v>594</v>
      </c>
      <c r="B51" s="1109"/>
      <c r="C51" s="1110"/>
      <c r="D51" s="793" t="e">
        <f t="shared" ref="D51:I51" si="16">SUM(D47:D50)</f>
        <v>#REF!</v>
      </c>
      <c r="E51" s="793" t="e">
        <f t="shared" si="16"/>
        <v>#REF!</v>
      </c>
      <c r="F51" s="793" t="e">
        <f t="shared" si="16"/>
        <v>#REF!</v>
      </c>
      <c r="G51" s="793" t="e">
        <f t="shared" si="16"/>
        <v>#REF!</v>
      </c>
      <c r="H51" s="793" t="e">
        <f t="shared" si="16"/>
        <v>#REF!</v>
      </c>
      <c r="I51" s="794" t="e">
        <f t="shared" si="16"/>
        <v>#REF!</v>
      </c>
      <c r="J51" s="815"/>
      <c r="K51" s="794">
        <f>SUM(K47:K50)</f>
        <v>21419519</v>
      </c>
      <c r="L51" s="823">
        <f>SUM(L47:L50)</f>
        <v>35475929</v>
      </c>
      <c r="M51" s="878">
        <f>SUM(M47:M50)</f>
        <v>0</v>
      </c>
      <c r="N51" s="878">
        <f>SUM(N47:N50)</f>
        <v>0</v>
      </c>
      <c r="O51" s="887">
        <f>O47+O49+O50</f>
        <v>34250895</v>
      </c>
      <c r="P51" s="1014">
        <f>P47+P49+P50</f>
        <v>102533000</v>
      </c>
      <c r="Q51" s="1034">
        <f>SUM(Q47:Q50)</f>
        <v>35382687.469999999</v>
      </c>
      <c r="R51" s="1080">
        <f>R47+R50</f>
        <v>137915687.47</v>
      </c>
      <c r="S51" s="1062">
        <f>S47+S50</f>
        <v>264100</v>
      </c>
      <c r="T51" s="1063">
        <f>SUM(T47:T50)</f>
        <v>138179787.47</v>
      </c>
      <c r="U51" s="1062">
        <f>SUM(U3:U50)</f>
        <v>309200</v>
      </c>
      <c r="V51" s="1063">
        <f>SUM(T51:U51)</f>
        <v>138488987.47</v>
      </c>
    </row>
    <row r="52" spans="1:22" hidden="1">
      <c r="A52" s="487"/>
      <c r="B52" s="487"/>
      <c r="C52" s="487"/>
      <c r="D52" s="789"/>
      <c r="E52" s="789"/>
      <c r="F52" s="789"/>
      <c r="G52" s="789"/>
      <c r="H52" s="789"/>
      <c r="I52" s="789"/>
      <c r="J52" s="900"/>
      <c r="K52" s="789"/>
      <c r="L52" s="789"/>
      <c r="M52" s="831"/>
      <c r="N52" s="831"/>
      <c r="O52" s="826"/>
      <c r="P52" s="826"/>
      <c r="Q52" s="150"/>
      <c r="R52" s="150"/>
      <c r="S52" s="150"/>
    </row>
    <row r="53" spans="1:22" hidden="1">
      <c r="A53" s="487"/>
      <c r="B53" s="487"/>
      <c r="C53" s="487"/>
      <c r="D53" s="789"/>
      <c r="E53" s="789"/>
      <c r="F53" s="789"/>
      <c r="G53" s="789"/>
      <c r="H53" s="789"/>
      <c r="I53" s="789"/>
      <c r="J53" s="900"/>
      <c r="K53" s="789"/>
      <c r="L53" s="789"/>
      <c r="M53" s="831"/>
      <c r="N53" s="831"/>
      <c r="O53" s="826"/>
      <c r="P53" s="826"/>
      <c r="Q53" s="150"/>
      <c r="R53" s="150"/>
      <c r="S53" s="150"/>
    </row>
    <row r="54" spans="1:22" hidden="1">
      <c r="A54" s="487"/>
      <c r="B54" s="487"/>
      <c r="C54" s="487"/>
      <c r="D54" s="789"/>
      <c r="E54" s="789"/>
      <c r="F54" s="789"/>
      <c r="G54" s="789"/>
      <c r="H54" s="789"/>
      <c r="I54" s="789"/>
      <c r="J54" s="900"/>
      <c r="K54" s="789"/>
      <c r="L54" s="789"/>
      <c r="M54" s="831"/>
      <c r="N54" s="831"/>
      <c r="O54" s="826"/>
      <c r="P54" s="826"/>
      <c r="Q54" s="150"/>
      <c r="R54" s="150"/>
      <c r="S54" s="150"/>
    </row>
    <row r="55" spans="1:22" hidden="1">
      <c r="A55" s="487"/>
      <c r="B55" s="487"/>
      <c r="C55" s="487"/>
      <c r="D55" s="789"/>
      <c r="E55" s="789"/>
      <c r="F55" s="789"/>
      <c r="G55" s="789"/>
      <c r="H55" s="789"/>
      <c r="I55" s="789"/>
      <c r="J55" s="900"/>
      <c r="K55" s="789"/>
      <c r="L55" s="789"/>
      <c r="M55" s="831"/>
      <c r="N55" s="831"/>
      <c r="O55" s="826"/>
      <c r="P55" s="826"/>
      <c r="Q55" s="150"/>
      <c r="R55" s="150"/>
      <c r="S55" s="150"/>
    </row>
    <row r="56" spans="1:22" hidden="1">
      <c r="A56" s="487"/>
      <c r="B56" s="487"/>
      <c r="C56" s="487"/>
      <c r="D56" s="789"/>
      <c r="E56" s="789"/>
      <c r="F56" s="789"/>
      <c r="G56" s="789"/>
      <c r="H56" s="789"/>
      <c r="I56" s="789"/>
      <c r="J56" s="900"/>
      <c r="K56" s="789"/>
      <c r="L56" s="789"/>
      <c r="M56" s="831"/>
      <c r="N56" s="831"/>
      <c r="O56" s="826"/>
      <c r="P56" s="826"/>
      <c r="Q56" s="150"/>
      <c r="R56" s="150"/>
      <c r="S56" s="150"/>
    </row>
    <row r="57" spans="1:22" hidden="1">
      <c r="A57" s="487"/>
      <c r="B57" s="487"/>
      <c r="C57" s="487"/>
      <c r="D57" s="789"/>
      <c r="E57" s="789"/>
      <c r="F57" s="789"/>
      <c r="G57" s="789"/>
      <c r="H57" s="789"/>
      <c r="I57" s="789"/>
      <c r="J57" s="900"/>
      <c r="K57" s="789"/>
      <c r="L57" s="789"/>
      <c r="M57" s="831"/>
      <c r="N57" s="831"/>
      <c r="O57" s="826"/>
      <c r="P57" s="826"/>
      <c r="Q57" s="150"/>
      <c r="R57" s="150"/>
      <c r="S57" s="150"/>
    </row>
    <row r="58" spans="1:22" hidden="1">
      <c r="A58" s="487"/>
      <c r="B58" s="487"/>
      <c r="C58" s="487"/>
      <c r="D58" s="789"/>
      <c r="E58" s="789"/>
      <c r="F58" s="789"/>
      <c r="G58" s="789"/>
      <c r="H58" s="789"/>
      <c r="I58" s="789"/>
      <c r="J58" s="900"/>
      <c r="K58" s="789"/>
      <c r="L58" s="789"/>
      <c r="M58" s="831"/>
      <c r="N58" s="831"/>
      <c r="O58" s="826"/>
      <c r="P58" s="826"/>
      <c r="Q58" s="150"/>
      <c r="R58" s="150"/>
      <c r="S58" s="150"/>
    </row>
    <row r="59" spans="1:22" hidden="1">
      <c r="A59" s="487"/>
      <c r="B59" s="487"/>
      <c r="C59" s="487"/>
      <c r="D59" s="789"/>
      <c r="E59" s="789"/>
      <c r="F59" s="789"/>
      <c r="G59" s="789"/>
      <c r="H59" s="789"/>
      <c r="I59" s="789"/>
      <c r="J59" s="900"/>
      <c r="K59" s="789"/>
      <c r="L59" s="789"/>
      <c r="M59" s="831"/>
      <c r="N59" s="831"/>
      <c r="O59" s="826"/>
      <c r="P59" s="826"/>
      <c r="Q59" s="150"/>
      <c r="R59" s="150"/>
      <c r="S59" s="150"/>
    </row>
    <row r="60" spans="1:22" hidden="1">
      <c r="A60" s="487"/>
      <c r="B60" s="487"/>
      <c r="C60" s="487"/>
      <c r="D60" s="789"/>
      <c r="E60" s="789"/>
      <c r="F60" s="789"/>
      <c r="G60" s="789"/>
      <c r="H60" s="789"/>
      <c r="I60" s="789"/>
      <c r="J60" s="900"/>
      <c r="K60" s="789"/>
      <c r="L60" s="789"/>
      <c r="M60" s="831"/>
      <c r="N60" s="831"/>
      <c r="O60" s="826"/>
      <c r="P60" s="826"/>
      <c r="Q60" s="150"/>
      <c r="R60" s="150"/>
      <c r="S60" s="150"/>
    </row>
    <row r="61" spans="1:22" hidden="1">
      <c r="A61" s="487"/>
      <c r="B61" s="487"/>
      <c r="C61" s="487"/>
      <c r="D61" s="789"/>
      <c r="E61" s="789"/>
      <c r="F61" s="789"/>
      <c r="G61" s="789"/>
      <c r="H61" s="789"/>
      <c r="I61" s="789"/>
      <c r="J61" s="900"/>
      <c r="K61" s="789"/>
      <c r="L61" s="789"/>
      <c r="M61" s="831"/>
      <c r="N61" s="831"/>
      <c r="O61" s="826"/>
      <c r="P61" s="826"/>
      <c r="Q61" s="150"/>
      <c r="R61" s="150"/>
      <c r="S61" s="150"/>
    </row>
    <row r="62" spans="1:22" hidden="1">
      <c r="A62" s="487"/>
      <c r="B62" s="487"/>
      <c r="C62" s="487"/>
      <c r="D62" s="789"/>
      <c r="E62" s="789"/>
      <c r="F62" s="789"/>
      <c r="G62" s="789"/>
      <c r="H62" s="789"/>
      <c r="I62" s="789"/>
      <c r="J62" s="900"/>
      <c r="K62" s="789"/>
      <c r="L62" s="789"/>
      <c r="M62" s="831"/>
      <c r="N62" s="831"/>
      <c r="O62" s="826"/>
      <c r="P62" s="826"/>
      <c r="Q62" s="150"/>
      <c r="R62" s="150"/>
      <c r="S62" s="150"/>
    </row>
    <row r="63" spans="1:22" hidden="1">
      <c r="A63" s="487"/>
      <c r="B63" s="487"/>
      <c r="C63" s="487"/>
      <c r="D63" s="789"/>
      <c r="E63" s="789"/>
      <c r="F63" s="789"/>
      <c r="G63" s="789"/>
      <c r="H63" s="789"/>
      <c r="I63" s="789"/>
      <c r="J63" s="900"/>
      <c r="K63" s="789"/>
      <c r="L63" s="789"/>
      <c r="M63" s="831"/>
      <c r="N63" s="831"/>
      <c r="O63" s="826"/>
      <c r="P63" s="826"/>
      <c r="Q63" s="150"/>
      <c r="R63" s="150"/>
      <c r="S63" s="150"/>
    </row>
    <row r="64" spans="1:22" hidden="1">
      <c r="A64" s="487"/>
      <c r="B64" s="487"/>
      <c r="C64" s="487"/>
      <c r="D64" s="789"/>
      <c r="E64" s="789"/>
      <c r="F64" s="789"/>
      <c r="G64" s="789"/>
      <c r="H64" s="789"/>
      <c r="I64" s="789"/>
      <c r="J64" s="900"/>
      <c r="K64" s="789"/>
      <c r="L64" s="789"/>
      <c r="M64" s="831"/>
      <c r="N64" s="831"/>
      <c r="O64" s="826"/>
      <c r="P64" s="826"/>
      <c r="Q64" s="150"/>
      <c r="R64" s="150"/>
      <c r="S64" s="150"/>
    </row>
    <row r="65" spans="1:22" hidden="1">
      <c r="A65" s="487"/>
      <c r="B65" s="487"/>
      <c r="C65" s="487"/>
      <c r="D65" s="789"/>
      <c r="E65" s="789"/>
      <c r="F65" s="789"/>
      <c r="G65" s="789"/>
      <c r="H65" s="789"/>
      <c r="I65" s="789"/>
      <c r="J65" s="900"/>
      <c r="K65" s="789"/>
      <c r="L65" s="789"/>
      <c r="M65" s="831"/>
      <c r="N65" s="831"/>
      <c r="O65" s="826"/>
      <c r="P65" s="826"/>
      <c r="Q65" s="150"/>
      <c r="R65" s="150"/>
      <c r="S65" s="150"/>
    </row>
    <row r="66" spans="1:22" hidden="1">
      <c r="A66" s="487"/>
      <c r="B66" s="487"/>
      <c r="C66" s="487"/>
      <c r="D66" s="789"/>
      <c r="E66" s="789"/>
      <c r="F66" s="789"/>
      <c r="G66" s="789"/>
      <c r="H66" s="789"/>
      <c r="I66" s="789"/>
      <c r="J66" s="900"/>
      <c r="K66" s="789"/>
      <c r="L66" s="789"/>
      <c r="M66" s="831"/>
      <c r="N66" s="831"/>
      <c r="O66" s="826"/>
      <c r="P66" s="826"/>
      <c r="Q66" s="150"/>
      <c r="R66" s="150"/>
      <c r="S66" s="150"/>
    </row>
    <row r="67" spans="1:22" hidden="1">
      <c r="A67" s="487"/>
      <c r="B67" s="487"/>
      <c r="C67" s="487"/>
      <c r="D67" s="789"/>
      <c r="E67" s="789"/>
      <c r="F67" s="789"/>
      <c r="G67" s="789"/>
      <c r="H67" s="789"/>
      <c r="I67" s="789"/>
      <c r="J67" s="900"/>
      <c r="K67" s="789"/>
      <c r="L67" s="789"/>
      <c r="M67" s="831"/>
      <c r="N67" s="831"/>
      <c r="O67" s="826"/>
      <c r="P67" s="826"/>
      <c r="Q67" s="150"/>
      <c r="R67" s="150"/>
      <c r="S67" s="150"/>
    </row>
    <row r="68" spans="1:22" hidden="1">
      <c r="A68" s="771"/>
      <c r="B68" s="771"/>
      <c r="C68" s="786"/>
      <c r="D68" s="787"/>
      <c r="E68" s="787"/>
      <c r="F68" s="787"/>
      <c r="G68" s="787"/>
      <c r="H68" s="787"/>
      <c r="I68" s="787"/>
      <c r="J68" s="795"/>
      <c r="K68" s="787"/>
      <c r="L68" s="787"/>
      <c r="M68" s="826"/>
      <c r="N68" s="826"/>
      <c r="O68" s="826"/>
      <c r="P68" s="826"/>
      <c r="Q68" s="150"/>
      <c r="R68" s="150"/>
      <c r="S68" s="150"/>
    </row>
    <row r="69" spans="1:22" ht="16">
      <c r="A69" s="808" t="s">
        <v>1250</v>
      </c>
      <c r="B69" s="952"/>
      <c r="C69" s="953"/>
      <c r="D69" s="789"/>
      <c r="E69" s="789"/>
      <c r="F69" s="789"/>
      <c r="G69" s="789"/>
      <c r="H69" s="789"/>
      <c r="I69" s="789"/>
      <c r="J69" s="795"/>
      <c r="K69" s="789"/>
      <c r="L69" s="789"/>
      <c r="M69" s="826"/>
      <c r="N69" s="826"/>
      <c r="O69" s="826"/>
      <c r="P69" s="826"/>
      <c r="Q69" s="150"/>
      <c r="R69" s="150"/>
      <c r="S69" s="150"/>
    </row>
    <row r="70" spans="1:22" ht="14" hidden="1" thickBot="1">
      <c r="A70" s="1018">
        <v>1036</v>
      </c>
      <c r="B70" s="955">
        <v>5169</v>
      </c>
      <c r="C70" s="868" t="s">
        <v>596</v>
      </c>
      <c r="D70" s="1019"/>
      <c r="E70" s="1019"/>
      <c r="F70" s="1019"/>
      <c r="G70" s="1019"/>
      <c r="H70" s="1019"/>
      <c r="I70" s="1019"/>
      <c r="J70" s="1020"/>
      <c r="K70" s="1019"/>
      <c r="L70" s="1019"/>
      <c r="M70" s="871"/>
      <c r="N70" s="871"/>
      <c r="O70" s="871">
        <v>95000</v>
      </c>
      <c r="P70" s="1037">
        <v>300000</v>
      </c>
      <c r="Q70" s="1067"/>
      <c r="R70" s="1029">
        <f>SUM(P70:Q70)</f>
        <v>300000</v>
      </c>
      <c r="S70" s="1064"/>
      <c r="T70" s="1029">
        <f t="shared" ref="T70:T96" si="17">SUM(R70:S70)</f>
        <v>300000</v>
      </c>
      <c r="U70" s="1064"/>
      <c r="V70" s="1029">
        <f>SUM(T70:U70)</f>
        <v>300000</v>
      </c>
    </row>
    <row r="71" spans="1:22" hidden="1">
      <c r="A71" s="942">
        <v>2212</v>
      </c>
      <c r="B71" s="943">
        <v>5171</v>
      </c>
      <c r="C71" s="790" t="s">
        <v>597</v>
      </c>
      <c r="D71" s="944">
        <v>100000</v>
      </c>
      <c r="E71" s="944">
        <v>850000</v>
      </c>
      <c r="F71" s="944">
        <v>48062</v>
      </c>
      <c r="G71" s="1028" t="e">
        <f>#REF!+320000-8943</f>
        <v>#REF!</v>
      </c>
      <c r="H71" s="944" t="e">
        <f>(G71+F71)</f>
        <v>#REF!</v>
      </c>
      <c r="I71" s="944">
        <v>50000</v>
      </c>
      <c r="J71" s="866">
        <v>800000</v>
      </c>
      <c r="K71" s="944">
        <v>1005157</v>
      </c>
      <c r="L71" s="944">
        <v>100000</v>
      </c>
      <c r="M71" s="855">
        <v>100000</v>
      </c>
      <c r="N71" s="855">
        <v>500000</v>
      </c>
      <c r="O71" s="855">
        <v>6500000</v>
      </c>
      <c r="P71" s="855">
        <v>12000000</v>
      </c>
      <c r="Q71" s="1038">
        <v>4000000</v>
      </c>
      <c r="R71" s="1030">
        <f>SUM(P71:Q71)</f>
        <v>16000000</v>
      </c>
      <c r="S71" s="1059"/>
      <c r="T71" s="1030">
        <f t="shared" si="17"/>
        <v>16000000</v>
      </c>
      <c r="U71" s="1059"/>
      <c r="V71" s="1030">
        <f>SUM(T71:U71)</f>
        <v>16000000</v>
      </c>
    </row>
    <row r="72" spans="1:22" hidden="1">
      <c r="A72" s="773">
        <v>2219</v>
      </c>
      <c r="B72" s="772">
        <v>5139</v>
      </c>
      <c r="C72" s="785" t="s">
        <v>601</v>
      </c>
      <c r="D72" s="784"/>
      <c r="E72" s="784"/>
      <c r="F72" s="784"/>
      <c r="G72" s="1054"/>
      <c r="H72" s="784"/>
      <c r="I72" s="784"/>
      <c r="J72" s="803"/>
      <c r="K72" s="784"/>
      <c r="L72" s="784"/>
      <c r="M72" s="825"/>
      <c r="N72" s="825"/>
      <c r="O72" s="825"/>
      <c r="P72" s="825"/>
      <c r="Q72" s="1038"/>
      <c r="R72" s="1030"/>
      <c r="S72" s="1059">
        <v>20000</v>
      </c>
      <c r="T72" s="1030">
        <f t="shared" si="17"/>
        <v>20000</v>
      </c>
      <c r="U72" s="1059"/>
      <c r="V72" s="1030">
        <f>SUM(T72:U72)</f>
        <v>20000</v>
      </c>
    </row>
    <row r="73" spans="1:22" hidden="1">
      <c r="A73" s="773">
        <v>2219</v>
      </c>
      <c r="B73" s="772">
        <v>5171</v>
      </c>
      <c r="C73" s="785" t="s">
        <v>599</v>
      </c>
      <c r="D73" s="784"/>
      <c r="E73" s="784">
        <v>400000</v>
      </c>
      <c r="F73" s="784"/>
      <c r="G73" s="784">
        <v>0</v>
      </c>
      <c r="H73" s="784">
        <f>G73+F73</f>
        <v>0</v>
      </c>
      <c r="I73" s="784">
        <v>50000</v>
      </c>
      <c r="J73" s="803"/>
      <c r="K73" s="784">
        <v>8803</v>
      </c>
      <c r="L73" s="784">
        <v>100000</v>
      </c>
      <c r="M73" s="825">
        <v>170000</v>
      </c>
      <c r="N73" s="825">
        <v>100000</v>
      </c>
      <c r="O73" s="825"/>
      <c r="P73" s="825"/>
      <c r="Q73" s="1036"/>
      <c r="R73" s="1030"/>
      <c r="S73" s="1059"/>
      <c r="T73" s="1030">
        <f t="shared" si="17"/>
        <v>0</v>
      </c>
      <c r="U73" s="1059"/>
      <c r="V73" s="1030"/>
    </row>
    <row r="74" spans="1:22" hidden="1">
      <c r="A74" s="773">
        <v>2219</v>
      </c>
      <c r="B74" s="772">
        <v>6121</v>
      </c>
      <c r="C74" s="785" t="s">
        <v>604</v>
      </c>
      <c r="D74" s="784"/>
      <c r="E74" s="784"/>
      <c r="F74" s="784"/>
      <c r="G74" s="784"/>
      <c r="H74" s="784"/>
      <c r="I74" s="784"/>
      <c r="J74" s="803"/>
      <c r="K74" s="784"/>
      <c r="L74" s="784"/>
      <c r="M74" s="825"/>
      <c r="N74" s="825"/>
      <c r="O74" s="825"/>
      <c r="P74" s="825"/>
      <c r="Q74" s="1036">
        <v>15000000</v>
      </c>
      <c r="R74" s="1030">
        <f>SUM(P74:Q74)</f>
        <v>15000000</v>
      </c>
      <c r="S74" s="1059"/>
      <c r="T74" s="1030">
        <f t="shared" si="17"/>
        <v>15000000</v>
      </c>
      <c r="U74" s="1059"/>
      <c r="V74" s="1030">
        <f>SUM(T74:U74)</f>
        <v>15000000</v>
      </c>
    </row>
    <row r="75" spans="1:22" hidden="1">
      <c r="A75" s="773">
        <v>2221</v>
      </c>
      <c r="B75" s="772">
        <v>5323</v>
      </c>
      <c r="C75" s="785" t="s">
        <v>600</v>
      </c>
      <c r="D75" s="784">
        <v>900000</v>
      </c>
      <c r="E75" s="784">
        <v>900000</v>
      </c>
      <c r="F75" s="784">
        <v>471613.32</v>
      </c>
      <c r="G75" s="784">
        <f t="shared" ref="G75:G118" si="18">E75-F75</f>
        <v>428386.68</v>
      </c>
      <c r="H75" s="784">
        <f t="shared" ref="H75:H137" si="19">G75+F75</f>
        <v>900000</v>
      </c>
      <c r="I75" s="784">
        <f>H75</f>
        <v>900000</v>
      </c>
      <c r="J75" s="803"/>
      <c r="K75" s="784">
        <v>794805</v>
      </c>
      <c r="L75" s="784">
        <v>900000</v>
      </c>
      <c r="M75" s="825">
        <v>900000</v>
      </c>
      <c r="N75" s="825">
        <v>900000</v>
      </c>
      <c r="O75" s="825">
        <v>900000</v>
      </c>
      <c r="P75" s="825">
        <v>900000</v>
      </c>
      <c r="Q75" s="1036"/>
      <c r="R75" s="1030">
        <f>SUM(P75:Q75)</f>
        <v>900000</v>
      </c>
      <c r="S75" s="1059"/>
      <c r="T75" s="1030">
        <f t="shared" si="17"/>
        <v>900000</v>
      </c>
      <c r="U75" s="1059"/>
      <c r="V75" s="1030">
        <f>SUM(T75:U75)</f>
        <v>900000</v>
      </c>
    </row>
    <row r="76" spans="1:22" hidden="1">
      <c r="A76" s="773">
        <v>2223</v>
      </c>
      <c r="B76" s="772">
        <v>5139</v>
      </c>
      <c r="C76" s="785" t="s">
        <v>601</v>
      </c>
      <c r="D76" s="784"/>
      <c r="E76" s="784"/>
      <c r="F76" s="784"/>
      <c r="G76" s="784"/>
      <c r="H76" s="784"/>
      <c r="I76" s="784"/>
      <c r="J76" s="803"/>
      <c r="K76" s="784"/>
      <c r="L76" s="784"/>
      <c r="M76" s="825"/>
      <c r="N76" s="825"/>
      <c r="O76" s="825">
        <v>60000</v>
      </c>
      <c r="P76" s="825"/>
      <c r="Q76" s="1036"/>
      <c r="R76" s="1030"/>
      <c r="S76" s="1059"/>
      <c r="T76" s="1030">
        <f t="shared" si="17"/>
        <v>0</v>
      </c>
      <c r="U76" s="1059"/>
      <c r="V76" s="1030"/>
    </row>
    <row r="77" spans="1:22" hidden="1">
      <c r="A77" s="773">
        <v>2223</v>
      </c>
      <c r="B77" s="772">
        <v>5169</v>
      </c>
      <c r="C77" s="785" t="s">
        <v>602</v>
      </c>
      <c r="D77" s="784"/>
      <c r="E77" s="784"/>
      <c r="F77" s="784"/>
      <c r="G77" s="784"/>
      <c r="H77" s="784"/>
      <c r="I77" s="784"/>
      <c r="J77" s="803"/>
      <c r="K77" s="784"/>
      <c r="L77" s="784"/>
      <c r="M77" s="825"/>
      <c r="N77" s="825"/>
      <c r="O77" s="825">
        <v>200000</v>
      </c>
      <c r="P77" s="825"/>
      <c r="Q77" s="1036"/>
      <c r="R77" s="1030"/>
      <c r="S77" s="1059"/>
      <c r="T77" s="1030">
        <f t="shared" si="17"/>
        <v>0</v>
      </c>
      <c r="U77" s="1059"/>
      <c r="V77" s="1030"/>
    </row>
    <row r="78" spans="1:22" hidden="1">
      <c r="A78" s="773">
        <v>2223</v>
      </c>
      <c r="B78" s="772">
        <v>5171</v>
      </c>
      <c r="C78" s="785" t="s">
        <v>603</v>
      </c>
      <c r="D78" s="784">
        <v>20000</v>
      </c>
      <c r="E78" s="784">
        <v>20000</v>
      </c>
      <c r="F78" s="784"/>
      <c r="G78" s="784">
        <f t="shared" si="18"/>
        <v>20000</v>
      </c>
      <c r="H78" s="784">
        <f t="shared" si="19"/>
        <v>20000</v>
      </c>
      <c r="I78" s="784">
        <f>H78</f>
        <v>20000</v>
      </c>
      <c r="J78" s="803"/>
      <c r="K78" s="784"/>
      <c r="L78" s="784">
        <v>20000</v>
      </c>
      <c r="M78" s="825">
        <v>1600000</v>
      </c>
      <c r="N78" s="825">
        <v>20000</v>
      </c>
      <c r="O78" s="825">
        <v>600000</v>
      </c>
      <c r="P78" s="825">
        <v>50000</v>
      </c>
      <c r="Q78" s="1036"/>
      <c r="R78" s="1030">
        <f t="shared" ref="R78:R92" si="20">SUM(P78:Q78)</f>
        <v>50000</v>
      </c>
      <c r="S78" s="1059"/>
      <c r="T78" s="1030">
        <f t="shared" si="17"/>
        <v>50000</v>
      </c>
      <c r="U78" s="1059"/>
      <c r="V78" s="1030">
        <f t="shared" ref="V78:V88" si="21">SUM(T78:U78)</f>
        <v>50000</v>
      </c>
    </row>
    <row r="79" spans="1:22" hidden="1">
      <c r="A79" s="836">
        <v>2223</v>
      </c>
      <c r="B79" s="837">
        <v>6121</v>
      </c>
      <c r="C79" s="838" t="s">
        <v>604</v>
      </c>
      <c r="D79" s="839"/>
      <c r="E79" s="839"/>
      <c r="F79" s="839"/>
      <c r="G79" s="839" t="e">
        <f>#REF!</f>
        <v>#REF!</v>
      </c>
      <c r="H79" s="839" t="e">
        <f t="shared" si="19"/>
        <v>#REF!</v>
      </c>
      <c r="I79" s="839" t="e">
        <f>#REF!</f>
        <v>#REF!</v>
      </c>
      <c r="J79" s="1022"/>
      <c r="K79" s="839">
        <v>417871</v>
      </c>
      <c r="L79" s="839">
        <v>1150000</v>
      </c>
      <c r="M79" s="842">
        <v>80000</v>
      </c>
      <c r="N79" s="842">
        <f>330000+4750000+150000</f>
        <v>5230000</v>
      </c>
      <c r="O79" s="842">
        <v>3000000</v>
      </c>
      <c r="P79" s="842">
        <v>15000000</v>
      </c>
      <c r="Q79" s="1036">
        <v>-15000000</v>
      </c>
      <c r="R79" s="1030">
        <f t="shared" si="20"/>
        <v>0</v>
      </c>
      <c r="S79" s="1059"/>
      <c r="T79" s="1030">
        <f t="shared" si="17"/>
        <v>0</v>
      </c>
      <c r="U79" s="1059"/>
      <c r="V79" s="1030">
        <f t="shared" si="21"/>
        <v>0</v>
      </c>
    </row>
    <row r="80" spans="1:22" hidden="1">
      <c r="A80" s="773">
        <v>2310</v>
      </c>
      <c r="B80" s="772">
        <v>5139</v>
      </c>
      <c r="C80" s="785" t="s">
        <v>606</v>
      </c>
      <c r="D80" s="784">
        <v>5000</v>
      </c>
      <c r="E80" s="784">
        <v>5000</v>
      </c>
      <c r="F80" s="784">
        <v>5733</v>
      </c>
      <c r="G80" s="784">
        <v>0</v>
      </c>
      <c r="H80" s="784">
        <f t="shared" si="19"/>
        <v>5733</v>
      </c>
      <c r="I80" s="784">
        <f>H80</f>
        <v>5733</v>
      </c>
      <c r="J80" s="803"/>
      <c r="K80" s="784"/>
      <c r="L80" s="784">
        <v>2000</v>
      </c>
      <c r="M80" s="825">
        <v>67000</v>
      </c>
      <c r="N80" s="825">
        <v>50000</v>
      </c>
      <c r="O80" s="825">
        <v>20000</v>
      </c>
      <c r="P80" s="825">
        <v>50000</v>
      </c>
      <c r="Q80" s="1036"/>
      <c r="R80" s="1030">
        <f t="shared" si="20"/>
        <v>50000</v>
      </c>
      <c r="S80" s="1059"/>
      <c r="T80" s="1030">
        <f t="shared" si="17"/>
        <v>50000</v>
      </c>
      <c r="U80" s="1059"/>
      <c r="V80" s="1030">
        <f t="shared" si="21"/>
        <v>50000</v>
      </c>
    </row>
    <row r="81" spans="1:22" hidden="1">
      <c r="A81" s="773">
        <v>2321</v>
      </c>
      <c r="B81" s="772">
        <v>5169</v>
      </c>
      <c r="C81" s="785" t="s">
        <v>607</v>
      </c>
      <c r="D81" s="784">
        <v>10000</v>
      </c>
      <c r="E81" s="784">
        <v>10000</v>
      </c>
      <c r="F81" s="784"/>
      <c r="G81" s="784">
        <f t="shared" si="18"/>
        <v>10000</v>
      </c>
      <c r="H81" s="784">
        <f t="shared" si="19"/>
        <v>10000</v>
      </c>
      <c r="I81" s="784">
        <f t="shared" ref="I81:I95" si="22">H81</f>
        <v>10000</v>
      </c>
      <c r="J81" s="803"/>
      <c r="K81" s="784">
        <v>19316</v>
      </c>
      <c r="L81" s="784">
        <v>20000</v>
      </c>
      <c r="M81" s="825"/>
      <c r="N81" s="825">
        <v>20000</v>
      </c>
      <c r="O81" s="825"/>
      <c r="P81" s="825">
        <v>100000</v>
      </c>
      <c r="Q81" s="1036"/>
      <c r="R81" s="1030">
        <f t="shared" si="20"/>
        <v>100000</v>
      </c>
      <c r="S81" s="1059"/>
      <c r="T81" s="1030">
        <f t="shared" si="17"/>
        <v>100000</v>
      </c>
      <c r="U81" s="1059"/>
      <c r="V81" s="1030">
        <f t="shared" si="21"/>
        <v>100000</v>
      </c>
    </row>
    <row r="82" spans="1:22" hidden="1">
      <c r="A82" s="773">
        <v>2321</v>
      </c>
      <c r="B82" s="772">
        <v>5171</v>
      </c>
      <c r="C82" s="785" t="s">
        <v>608</v>
      </c>
      <c r="D82" s="784">
        <v>40000</v>
      </c>
      <c r="E82" s="784">
        <v>40000</v>
      </c>
      <c r="F82" s="784"/>
      <c r="G82" s="784">
        <f t="shared" si="18"/>
        <v>40000</v>
      </c>
      <c r="H82" s="784">
        <f t="shared" si="19"/>
        <v>40000</v>
      </c>
      <c r="I82" s="784">
        <f t="shared" si="22"/>
        <v>40000</v>
      </c>
      <c r="J82" s="803"/>
      <c r="K82" s="784">
        <v>14707</v>
      </c>
      <c r="L82" s="784">
        <v>40000</v>
      </c>
      <c r="M82" s="825">
        <v>40000</v>
      </c>
      <c r="N82" s="825">
        <v>500000</v>
      </c>
      <c r="O82" s="825">
        <v>10000</v>
      </c>
      <c r="P82" s="825">
        <v>800000</v>
      </c>
      <c r="Q82" s="1036"/>
      <c r="R82" s="1030">
        <f t="shared" si="20"/>
        <v>800000</v>
      </c>
      <c r="S82" s="1059"/>
      <c r="T82" s="1030">
        <f t="shared" si="17"/>
        <v>800000</v>
      </c>
      <c r="U82" s="1059"/>
      <c r="V82" s="1030">
        <f t="shared" si="21"/>
        <v>800000</v>
      </c>
    </row>
    <row r="83" spans="1:22" hidden="1">
      <c r="A83" s="773">
        <v>2329</v>
      </c>
      <c r="B83" s="772">
        <v>5011</v>
      </c>
      <c r="C83" s="785" t="s">
        <v>610</v>
      </c>
      <c r="D83" s="784">
        <v>20000</v>
      </c>
      <c r="E83" s="784">
        <v>20000</v>
      </c>
      <c r="F83" s="784">
        <v>10400</v>
      </c>
      <c r="G83" s="784">
        <f t="shared" si="18"/>
        <v>9600</v>
      </c>
      <c r="H83" s="784">
        <f t="shared" si="19"/>
        <v>20000</v>
      </c>
      <c r="I83" s="784">
        <f t="shared" si="22"/>
        <v>20000</v>
      </c>
      <c r="J83" s="803"/>
      <c r="K83" s="784">
        <v>49419</v>
      </c>
      <c r="L83" s="784">
        <v>80000</v>
      </c>
      <c r="M83" s="825">
        <v>100000</v>
      </c>
      <c r="N83" s="825">
        <v>100000</v>
      </c>
      <c r="O83" s="825">
        <v>120000</v>
      </c>
      <c r="P83" s="825">
        <v>120000</v>
      </c>
      <c r="Q83" s="1036"/>
      <c r="R83" s="1030">
        <f t="shared" si="20"/>
        <v>120000</v>
      </c>
      <c r="S83" s="1059"/>
      <c r="T83" s="1030">
        <f t="shared" si="17"/>
        <v>120000</v>
      </c>
      <c r="U83" s="1059"/>
      <c r="V83" s="1030">
        <f t="shared" si="21"/>
        <v>120000</v>
      </c>
    </row>
    <row r="84" spans="1:22" hidden="1">
      <c r="A84" s="773">
        <v>2329</v>
      </c>
      <c r="B84" s="772">
        <v>5021</v>
      </c>
      <c r="C84" s="785" t="s">
        <v>611</v>
      </c>
      <c r="D84" s="784">
        <v>30000</v>
      </c>
      <c r="E84" s="784">
        <v>30000</v>
      </c>
      <c r="F84" s="784">
        <v>30450</v>
      </c>
      <c r="G84" s="784">
        <v>0</v>
      </c>
      <c r="H84" s="784">
        <f t="shared" si="19"/>
        <v>30450</v>
      </c>
      <c r="I84" s="784">
        <f t="shared" si="22"/>
        <v>30450</v>
      </c>
      <c r="J84" s="803"/>
      <c r="K84" s="784">
        <v>45391</v>
      </c>
      <c r="L84" s="784">
        <v>60000</v>
      </c>
      <c r="M84" s="825">
        <v>50000</v>
      </c>
      <c r="N84" s="825">
        <v>50000</v>
      </c>
      <c r="O84" s="825">
        <v>60000</v>
      </c>
      <c r="P84" s="825">
        <v>60000</v>
      </c>
      <c r="Q84" s="1036"/>
      <c r="R84" s="1030">
        <f t="shared" si="20"/>
        <v>60000</v>
      </c>
      <c r="S84" s="1059"/>
      <c r="T84" s="1030">
        <f t="shared" si="17"/>
        <v>60000</v>
      </c>
      <c r="U84" s="1059"/>
      <c r="V84" s="1030">
        <f t="shared" si="21"/>
        <v>60000</v>
      </c>
    </row>
    <row r="85" spans="1:22" hidden="1">
      <c r="A85" s="773">
        <v>2329</v>
      </c>
      <c r="B85" s="772">
        <v>5031</v>
      </c>
      <c r="C85" s="785" t="s">
        <v>612</v>
      </c>
      <c r="D85" s="784">
        <v>12000</v>
      </c>
      <c r="E85" s="784">
        <v>12000</v>
      </c>
      <c r="F85" s="784">
        <v>2590</v>
      </c>
      <c r="G85" s="784">
        <f t="shared" si="18"/>
        <v>9410</v>
      </c>
      <c r="H85" s="784">
        <f t="shared" si="19"/>
        <v>12000</v>
      </c>
      <c r="I85" s="784">
        <f t="shared" si="22"/>
        <v>12000</v>
      </c>
      <c r="J85" s="803"/>
      <c r="K85" s="784">
        <v>3682</v>
      </c>
      <c r="L85" s="784">
        <v>12000</v>
      </c>
      <c r="M85" s="825">
        <v>10000</v>
      </c>
      <c r="N85" s="825">
        <v>10000</v>
      </c>
      <c r="O85" s="825">
        <v>10000</v>
      </c>
      <c r="P85" s="825">
        <v>10000</v>
      </c>
      <c r="Q85" s="1036"/>
      <c r="R85" s="1030">
        <f t="shared" si="20"/>
        <v>10000</v>
      </c>
      <c r="S85" s="1059"/>
      <c r="T85" s="1030">
        <f t="shared" si="17"/>
        <v>10000</v>
      </c>
      <c r="U85" s="1059"/>
      <c r="V85" s="1030">
        <f t="shared" si="21"/>
        <v>10000</v>
      </c>
    </row>
    <row r="86" spans="1:22" hidden="1">
      <c r="A86" s="773">
        <v>2329</v>
      </c>
      <c r="B86" s="772">
        <v>5032</v>
      </c>
      <c r="C86" s="785" t="s">
        <v>613</v>
      </c>
      <c r="D86" s="784">
        <v>8000</v>
      </c>
      <c r="E86" s="784">
        <v>8000</v>
      </c>
      <c r="F86" s="784">
        <v>936</v>
      </c>
      <c r="G86" s="784">
        <f t="shared" si="18"/>
        <v>7064</v>
      </c>
      <c r="H86" s="784">
        <f t="shared" si="19"/>
        <v>8000</v>
      </c>
      <c r="I86" s="784">
        <f t="shared" si="22"/>
        <v>8000</v>
      </c>
      <c r="J86" s="803"/>
      <c r="K86" s="784">
        <v>1337</v>
      </c>
      <c r="L86" s="784">
        <v>8000</v>
      </c>
      <c r="M86" s="825">
        <v>5000</v>
      </c>
      <c r="N86" s="825">
        <v>5000</v>
      </c>
      <c r="O86" s="825">
        <v>5000</v>
      </c>
      <c r="P86" s="825">
        <v>5000</v>
      </c>
      <c r="Q86" s="1036"/>
      <c r="R86" s="1030">
        <f t="shared" si="20"/>
        <v>5000</v>
      </c>
      <c r="S86" s="1059"/>
      <c r="T86" s="1030">
        <f t="shared" si="17"/>
        <v>5000</v>
      </c>
      <c r="U86" s="1059"/>
      <c r="V86" s="1030">
        <f t="shared" si="21"/>
        <v>5000</v>
      </c>
    </row>
    <row r="87" spans="1:22" hidden="1">
      <c r="A87" s="773">
        <v>2329</v>
      </c>
      <c r="B87" s="772">
        <v>5139</v>
      </c>
      <c r="C87" s="785" t="s">
        <v>614</v>
      </c>
      <c r="D87" s="784">
        <v>5000</v>
      </c>
      <c r="E87" s="784">
        <v>25000</v>
      </c>
      <c r="F87" s="784">
        <v>22620</v>
      </c>
      <c r="G87" s="784">
        <f t="shared" si="18"/>
        <v>2380</v>
      </c>
      <c r="H87" s="784">
        <f t="shared" si="19"/>
        <v>25000</v>
      </c>
      <c r="I87" s="784">
        <f t="shared" si="22"/>
        <v>25000</v>
      </c>
      <c r="J87" s="803"/>
      <c r="K87" s="784">
        <v>39540</v>
      </c>
      <c r="L87" s="784">
        <v>56000</v>
      </c>
      <c r="M87" s="825">
        <v>140000</v>
      </c>
      <c r="N87" s="825">
        <v>140000</v>
      </c>
      <c r="O87" s="825">
        <v>140000</v>
      </c>
      <c r="P87" s="825">
        <v>140000</v>
      </c>
      <c r="Q87" s="1036"/>
      <c r="R87" s="1030">
        <f t="shared" si="20"/>
        <v>140000</v>
      </c>
      <c r="S87" s="1059"/>
      <c r="T87" s="1030">
        <f t="shared" si="17"/>
        <v>140000</v>
      </c>
      <c r="U87" s="1059"/>
      <c r="V87" s="1030">
        <f t="shared" si="21"/>
        <v>140000</v>
      </c>
    </row>
    <row r="88" spans="1:22" hidden="1">
      <c r="A88" s="773">
        <v>2329</v>
      </c>
      <c r="B88" s="772">
        <v>5154</v>
      </c>
      <c r="C88" s="785" t="s">
        <v>615</v>
      </c>
      <c r="D88" s="784">
        <v>300000</v>
      </c>
      <c r="E88" s="784">
        <v>300000</v>
      </c>
      <c r="F88" s="784">
        <v>245523.26</v>
      </c>
      <c r="G88" s="784">
        <f t="shared" si="18"/>
        <v>54476.739999999991</v>
      </c>
      <c r="H88" s="784">
        <f t="shared" si="19"/>
        <v>300000</v>
      </c>
      <c r="I88" s="784">
        <f t="shared" si="22"/>
        <v>300000</v>
      </c>
      <c r="J88" s="803"/>
      <c r="K88" s="784">
        <v>357221</v>
      </c>
      <c r="L88" s="784">
        <v>400000</v>
      </c>
      <c r="M88" s="825">
        <v>1300000</v>
      </c>
      <c r="N88" s="825">
        <v>1400000</v>
      </c>
      <c r="O88" s="825">
        <v>1000000</v>
      </c>
      <c r="P88" s="825">
        <v>1000000</v>
      </c>
      <c r="Q88" s="1036"/>
      <c r="R88" s="1030">
        <f t="shared" si="20"/>
        <v>1000000</v>
      </c>
      <c r="S88" s="1059"/>
      <c r="T88" s="1030">
        <f t="shared" si="17"/>
        <v>1000000</v>
      </c>
      <c r="U88" s="1059"/>
      <c r="V88" s="1030">
        <f t="shared" si="21"/>
        <v>1000000</v>
      </c>
    </row>
    <row r="89" spans="1:22" hidden="1">
      <c r="A89" s="773">
        <v>2329</v>
      </c>
      <c r="B89" s="772">
        <v>5151</v>
      </c>
      <c r="C89" s="785" t="s">
        <v>616</v>
      </c>
      <c r="D89" s="784"/>
      <c r="E89" s="784"/>
      <c r="F89" s="784">
        <v>49320</v>
      </c>
      <c r="G89" s="784">
        <f>60000-F89</f>
        <v>10680</v>
      </c>
      <c r="H89" s="784">
        <f t="shared" si="19"/>
        <v>60000</v>
      </c>
      <c r="I89" s="784">
        <f t="shared" si="22"/>
        <v>60000</v>
      </c>
      <c r="J89" s="803"/>
      <c r="K89" s="784"/>
      <c r="L89" s="784">
        <v>10000</v>
      </c>
      <c r="M89" s="825">
        <v>10000</v>
      </c>
      <c r="N89" s="825">
        <v>10000</v>
      </c>
      <c r="O89" s="825"/>
      <c r="P89" s="825"/>
      <c r="Q89" s="1036"/>
      <c r="R89" s="1030">
        <f t="shared" si="20"/>
        <v>0</v>
      </c>
      <c r="S89" s="1059"/>
      <c r="T89" s="1030">
        <f t="shared" si="17"/>
        <v>0</v>
      </c>
      <c r="U89" s="1059"/>
      <c r="V89" s="1030"/>
    </row>
    <row r="90" spans="1:22" hidden="1">
      <c r="A90" s="773">
        <v>2329</v>
      </c>
      <c r="B90" s="772">
        <v>5169</v>
      </c>
      <c r="C90" s="785" t="s">
        <v>617</v>
      </c>
      <c r="D90" s="784">
        <v>750000</v>
      </c>
      <c r="E90" s="784">
        <v>750000</v>
      </c>
      <c r="F90" s="784">
        <v>274259.26</v>
      </c>
      <c r="G90" s="784">
        <f t="shared" si="18"/>
        <v>475740.74</v>
      </c>
      <c r="H90" s="784">
        <f t="shared" si="19"/>
        <v>750000</v>
      </c>
      <c r="I90" s="784">
        <f t="shared" si="22"/>
        <v>750000</v>
      </c>
      <c r="J90" s="803"/>
      <c r="K90" s="784">
        <v>376997</v>
      </c>
      <c r="L90" s="784">
        <v>510000</v>
      </c>
      <c r="M90" s="825">
        <v>500000</v>
      </c>
      <c r="N90" s="825">
        <v>500000</v>
      </c>
      <c r="O90" s="825">
        <v>500000</v>
      </c>
      <c r="P90" s="825">
        <v>500000</v>
      </c>
      <c r="Q90" s="1036"/>
      <c r="R90" s="1030">
        <f t="shared" si="20"/>
        <v>500000</v>
      </c>
      <c r="S90" s="1059"/>
      <c r="T90" s="1030">
        <f t="shared" si="17"/>
        <v>500000</v>
      </c>
      <c r="U90" s="1059"/>
      <c r="V90" s="1030">
        <f>SUM(T90:U90)</f>
        <v>500000</v>
      </c>
    </row>
    <row r="91" spans="1:22" hidden="1">
      <c r="A91" s="773">
        <v>2329</v>
      </c>
      <c r="B91" s="772">
        <v>5171</v>
      </c>
      <c r="C91" s="785" t="s">
        <v>618</v>
      </c>
      <c r="D91" s="784">
        <v>100000</v>
      </c>
      <c r="E91" s="784">
        <v>100000</v>
      </c>
      <c r="F91" s="784">
        <v>73498.52</v>
      </c>
      <c r="G91" s="784">
        <f t="shared" si="18"/>
        <v>26501.479999999996</v>
      </c>
      <c r="H91" s="784">
        <f t="shared" si="19"/>
        <v>100000</v>
      </c>
      <c r="I91" s="784">
        <f t="shared" si="22"/>
        <v>100000</v>
      </c>
      <c r="J91" s="803"/>
      <c r="K91" s="784">
        <v>144713</v>
      </c>
      <c r="L91" s="784">
        <v>150000</v>
      </c>
      <c r="M91" s="825">
        <v>220000</v>
      </c>
      <c r="N91" s="825">
        <v>200000</v>
      </c>
      <c r="O91" s="825">
        <v>350000</v>
      </c>
      <c r="P91" s="825">
        <v>350000</v>
      </c>
      <c r="Q91" s="1036"/>
      <c r="R91" s="1030">
        <f t="shared" si="20"/>
        <v>350000</v>
      </c>
      <c r="S91" s="1059"/>
      <c r="T91" s="1030">
        <f t="shared" si="17"/>
        <v>350000</v>
      </c>
      <c r="U91" s="1059"/>
      <c r="V91" s="1030">
        <f>SUM(T91:U91)</f>
        <v>350000</v>
      </c>
    </row>
    <row r="92" spans="1:22" hidden="1">
      <c r="A92" s="773">
        <v>2329</v>
      </c>
      <c r="B92" s="772">
        <v>5362</v>
      </c>
      <c r="C92" s="785" t="s">
        <v>619</v>
      </c>
      <c r="D92" s="784">
        <v>30000</v>
      </c>
      <c r="E92" s="784">
        <v>30000</v>
      </c>
      <c r="F92" s="784"/>
      <c r="G92" s="784">
        <f t="shared" si="18"/>
        <v>30000</v>
      </c>
      <c r="H92" s="784">
        <f t="shared" si="19"/>
        <v>30000</v>
      </c>
      <c r="I92" s="784">
        <f t="shared" si="22"/>
        <v>30000</v>
      </c>
      <c r="J92" s="803"/>
      <c r="K92" s="784">
        <v>21725</v>
      </c>
      <c r="L92" s="784">
        <v>25000</v>
      </c>
      <c r="M92" s="825">
        <v>25000</v>
      </c>
      <c r="N92" s="825">
        <v>25000</v>
      </c>
      <c r="O92" s="825">
        <v>22000</v>
      </c>
      <c r="P92" s="825">
        <v>25000</v>
      </c>
      <c r="Q92" s="1036"/>
      <c r="R92" s="1030">
        <f t="shared" si="20"/>
        <v>25000</v>
      </c>
      <c r="S92" s="1059">
        <v>2100</v>
      </c>
      <c r="T92" s="1030">
        <f t="shared" si="17"/>
        <v>27100</v>
      </c>
      <c r="U92" s="1059"/>
      <c r="V92" s="1030">
        <f>SUM(T92:U92)</f>
        <v>27100</v>
      </c>
    </row>
    <row r="93" spans="1:22" hidden="1">
      <c r="A93" s="836">
        <v>2329</v>
      </c>
      <c r="B93" s="837">
        <v>6121</v>
      </c>
      <c r="C93" s="838" t="s">
        <v>620</v>
      </c>
      <c r="D93" s="839"/>
      <c r="E93" s="839"/>
      <c r="F93" s="839"/>
      <c r="G93" s="839"/>
      <c r="H93" s="839"/>
      <c r="I93" s="839"/>
      <c r="J93" s="1022"/>
      <c r="K93" s="839">
        <v>613175</v>
      </c>
      <c r="L93" s="839"/>
      <c r="M93" s="842">
        <v>180000</v>
      </c>
      <c r="N93" s="842">
        <v>150000</v>
      </c>
      <c r="O93" s="842"/>
      <c r="P93" s="842"/>
      <c r="Q93" s="1036"/>
      <c r="R93" s="1030"/>
      <c r="S93" s="1059"/>
      <c r="T93" s="1030">
        <f t="shared" si="17"/>
        <v>0</v>
      </c>
      <c r="U93" s="1059"/>
      <c r="V93" s="1030"/>
    </row>
    <row r="94" spans="1:22" hidden="1">
      <c r="A94" s="773">
        <v>2334</v>
      </c>
      <c r="B94" s="772">
        <v>5169</v>
      </c>
      <c r="C94" s="785" t="s">
        <v>1236</v>
      </c>
      <c r="D94" s="784"/>
      <c r="E94" s="784"/>
      <c r="F94" s="784"/>
      <c r="G94" s="784"/>
      <c r="H94" s="784"/>
      <c r="I94" s="784"/>
      <c r="J94" s="803"/>
      <c r="K94" s="784"/>
      <c r="L94" s="784"/>
      <c r="M94" s="825"/>
      <c r="N94" s="825"/>
      <c r="O94" s="825"/>
      <c r="P94" s="825"/>
      <c r="Q94" s="1039"/>
      <c r="R94" s="1068"/>
      <c r="S94" s="1065">
        <v>90000</v>
      </c>
      <c r="T94" s="1030">
        <f t="shared" si="17"/>
        <v>90000</v>
      </c>
      <c r="U94" s="1059"/>
      <c r="V94" s="1030">
        <f>SUM(T94:U94)</f>
        <v>90000</v>
      </c>
    </row>
    <row r="95" spans="1:22" hidden="1">
      <c r="A95" s="773">
        <v>2334</v>
      </c>
      <c r="B95" s="772">
        <v>5171</v>
      </c>
      <c r="C95" s="785" t="s">
        <v>621</v>
      </c>
      <c r="D95" s="784">
        <v>50000</v>
      </c>
      <c r="E95" s="784">
        <v>200000</v>
      </c>
      <c r="F95" s="784">
        <v>29597</v>
      </c>
      <c r="G95" s="784">
        <f t="shared" si="18"/>
        <v>170403</v>
      </c>
      <c r="H95" s="784">
        <f t="shared" si="19"/>
        <v>200000</v>
      </c>
      <c r="I95" s="784">
        <f t="shared" si="22"/>
        <v>200000</v>
      </c>
      <c r="J95" s="803"/>
      <c r="K95" s="784">
        <v>81053</v>
      </c>
      <c r="L95" s="784">
        <v>100000</v>
      </c>
      <c r="M95" s="825">
        <v>10000</v>
      </c>
      <c r="N95" s="825">
        <v>100000</v>
      </c>
      <c r="O95" s="825">
        <v>100000</v>
      </c>
      <c r="P95" s="825">
        <v>100000</v>
      </c>
      <c r="Q95" s="1036"/>
      <c r="R95" s="1030">
        <f>SUM(P95:Q95)</f>
        <v>100000</v>
      </c>
      <c r="S95" s="1059"/>
      <c r="T95" s="1030">
        <f t="shared" si="17"/>
        <v>100000</v>
      </c>
      <c r="U95" s="1059"/>
      <c r="V95" s="1030">
        <f>SUM(T95:U95)</f>
        <v>100000</v>
      </c>
    </row>
    <row r="96" spans="1:22" hidden="1">
      <c r="A96" s="836">
        <v>2334</v>
      </c>
      <c r="B96" s="837">
        <v>6121</v>
      </c>
      <c r="C96" s="838" t="s">
        <v>622</v>
      </c>
      <c r="D96" s="839"/>
      <c r="E96" s="839"/>
      <c r="F96" s="839"/>
      <c r="G96" s="839" t="e">
        <f>#REF!</f>
        <v>#REF!</v>
      </c>
      <c r="H96" s="839" t="e">
        <f t="shared" si="19"/>
        <v>#REF!</v>
      </c>
      <c r="I96" s="839" t="e">
        <f>#REF!</f>
        <v>#REF!</v>
      </c>
      <c r="J96" s="1022"/>
      <c r="K96" s="839"/>
      <c r="L96" s="839">
        <v>4900000</v>
      </c>
      <c r="M96" s="842">
        <v>340000</v>
      </c>
      <c r="N96" s="842">
        <v>30000</v>
      </c>
      <c r="O96" s="842">
        <v>250000</v>
      </c>
      <c r="P96" s="842">
        <v>2500000</v>
      </c>
      <c r="Q96" s="1036"/>
      <c r="R96" s="1030">
        <f>SUM(P96:Q96)</f>
        <v>2500000</v>
      </c>
      <c r="S96" s="1059"/>
      <c r="T96" s="1030">
        <f t="shared" si="17"/>
        <v>2500000</v>
      </c>
      <c r="U96" s="1059"/>
      <c r="V96" s="1030">
        <f>SUM(T96:U96)</f>
        <v>2500000</v>
      </c>
    </row>
    <row r="97" spans="1:22" hidden="1">
      <c r="A97" s="773">
        <v>3111</v>
      </c>
      <c r="B97" s="772">
        <v>5137</v>
      </c>
      <c r="C97" s="785" t="s">
        <v>624</v>
      </c>
      <c r="D97" s="784"/>
      <c r="E97" s="784">
        <v>2500000</v>
      </c>
      <c r="F97" s="784">
        <v>890909.21</v>
      </c>
      <c r="G97" s="784">
        <f t="shared" si="18"/>
        <v>1609090.79</v>
      </c>
      <c r="H97" s="784">
        <f t="shared" si="19"/>
        <v>2500000</v>
      </c>
      <c r="I97" s="784">
        <v>0</v>
      </c>
      <c r="J97" s="803"/>
      <c r="K97" s="784"/>
      <c r="L97" s="784"/>
      <c r="M97" s="825"/>
      <c r="N97" s="825"/>
      <c r="O97" s="825"/>
      <c r="P97" s="825"/>
      <c r="Q97" s="1036"/>
      <c r="R97" s="1030"/>
      <c r="S97" s="1059"/>
      <c r="T97" s="496"/>
      <c r="U97" s="1059"/>
      <c r="V97" s="1030"/>
    </row>
    <row r="98" spans="1:22" hidden="1">
      <c r="A98" s="773">
        <v>3111</v>
      </c>
      <c r="B98" s="772">
        <v>5139</v>
      </c>
      <c r="C98" s="785" t="s">
        <v>625</v>
      </c>
      <c r="D98" s="784"/>
      <c r="E98" s="784">
        <v>50000</v>
      </c>
      <c r="F98" s="784">
        <v>232473.4</v>
      </c>
      <c r="G98" s="784">
        <f>235000-F98</f>
        <v>2526.6000000000058</v>
      </c>
      <c r="H98" s="784">
        <f t="shared" si="19"/>
        <v>235000</v>
      </c>
      <c r="I98" s="784">
        <v>0</v>
      </c>
      <c r="J98" s="803"/>
      <c r="K98" s="784"/>
      <c r="L98" s="784"/>
      <c r="M98" s="825"/>
      <c r="N98" s="825"/>
      <c r="O98" s="825"/>
      <c r="P98" s="825"/>
      <c r="Q98" s="1036"/>
      <c r="R98" s="1030"/>
      <c r="S98" s="1059"/>
      <c r="T98" s="496"/>
      <c r="U98" s="1059"/>
      <c r="V98" s="1030"/>
    </row>
    <row r="99" spans="1:22" hidden="1">
      <c r="A99" s="773">
        <v>3111</v>
      </c>
      <c r="B99" s="772">
        <v>5153</v>
      </c>
      <c r="C99" s="785" t="s">
        <v>626</v>
      </c>
      <c r="D99" s="784"/>
      <c r="E99" s="784"/>
      <c r="F99" s="784">
        <v>16000</v>
      </c>
      <c r="G99" s="784">
        <f>20000-F99</f>
        <v>4000</v>
      </c>
      <c r="H99" s="784">
        <f t="shared" si="19"/>
        <v>20000</v>
      </c>
      <c r="I99" s="784">
        <v>0</v>
      </c>
      <c r="J99" s="803"/>
      <c r="K99" s="784"/>
      <c r="L99" s="784"/>
      <c r="M99" s="825"/>
      <c r="N99" s="825"/>
      <c r="O99" s="825"/>
      <c r="P99" s="825"/>
      <c r="Q99" s="1036"/>
      <c r="R99" s="1030"/>
      <c r="S99" s="1059"/>
      <c r="T99" s="496"/>
      <c r="U99" s="1059"/>
      <c r="V99" s="1030"/>
    </row>
    <row r="100" spans="1:22" hidden="1">
      <c r="A100" s="773">
        <v>3111</v>
      </c>
      <c r="B100" s="772">
        <v>5169</v>
      </c>
      <c r="C100" s="785" t="s">
        <v>627</v>
      </c>
      <c r="D100" s="784"/>
      <c r="E100" s="784">
        <v>50000</v>
      </c>
      <c r="F100" s="784">
        <v>40465.4</v>
      </c>
      <c r="G100" s="784">
        <f t="shared" si="18"/>
        <v>9534.5999999999985</v>
      </c>
      <c r="H100" s="784">
        <f t="shared" si="19"/>
        <v>50000</v>
      </c>
      <c r="I100" s="784">
        <v>0</v>
      </c>
      <c r="J100" s="803"/>
      <c r="K100" s="784"/>
      <c r="L100" s="784"/>
      <c r="M100" s="825"/>
      <c r="N100" s="825"/>
      <c r="O100" s="825"/>
      <c r="P100" s="825"/>
      <c r="Q100" s="1036"/>
      <c r="R100" s="1030"/>
      <c r="S100" s="1059"/>
      <c r="T100" s="496"/>
      <c r="U100" s="1059"/>
      <c r="V100" s="1030"/>
    </row>
    <row r="101" spans="1:22" hidden="1">
      <c r="A101" s="773">
        <v>3111</v>
      </c>
      <c r="B101" s="772">
        <v>5175</v>
      </c>
      <c r="C101" s="785" t="s">
        <v>628</v>
      </c>
      <c r="D101" s="784"/>
      <c r="E101" s="784"/>
      <c r="F101" s="784">
        <v>8959.75</v>
      </c>
      <c r="G101" s="784">
        <f>10000-F101</f>
        <v>1040.25</v>
      </c>
      <c r="H101" s="784">
        <f t="shared" si="19"/>
        <v>10000</v>
      </c>
      <c r="I101" s="784">
        <v>0</v>
      </c>
      <c r="J101" s="803"/>
      <c r="K101" s="784"/>
      <c r="L101" s="784"/>
      <c r="M101" s="825"/>
      <c r="N101" s="825"/>
      <c r="O101" s="825"/>
      <c r="P101" s="825"/>
      <c r="Q101" s="1036"/>
      <c r="R101" s="1030"/>
      <c r="S101" s="1059"/>
      <c r="T101" s="496"/>
      <c r="U101" s="1059"/>
      <c r="V101" s="1030"/>
    </row>
    <row r="102" spans="1:22" hidden="1">
      <c r="A102" s="773">
        <v>3111</v>
      </c>
      <c r="B102" s="772">
        <v>5154</v>
      </c>
      <c r="C102" s="785" t="s">
        <v>629</v>
      </c>
      <c r="D102" s="784"/>
      <c r="E102" s="784"/>
      <c r="F102" s="784"/>
      <c r="G102" s="784"/>
      <c r="H102" s="784"/>
      <c r="I102" s="784"/>
      <c r="J102" s="809"/>
      <c r="K102" s="784">
        <v>15870</v>
      </c>
      <c r="L102" s="784"/>
      <c r="M102" s="825"/>
      <c r="N102" s="825"/>
      <c r="O102" s="825"/>
      <c r="P102" s="825"/>
      <c r="Q102" s="1036"/>
      <c r="R102" s="1030"/>
      <c r="S102" s="1059"/>
      <c r="T102" s="496"/>
      <c r="U102" s="1059"/>
      <c r="V102" s="1030"/>
    </row>
    <row r="103" spans="1:22" hidden="1">
      <c r="A103" s="773">
        <v>3111</v>
      </c>
      <c r="B103" s="772">
        <v>5162</v>
      </c>
      <c r="C103" s="785" t="s">
        <v>630</v>
      </c>
      <c r="D103" s="784"/>
      <c r="E103" s="784"/>
      <c r="F103" s="784"/>
      <c r="G103" s="784"/>
      <c r="H103" s="784"/>
      <c r="I103" s="784"/>
      <c r="J103" s="809"/>
      <c r="K103" s="784">
        <v>11437</v>
      </c>
      <c r="L103" s="784">
        <v>30000</v>
      </c>
      <c r="M103" s="825">
        <v>40000</v>
      </c>
      <c r="N103" s="825">
        <v>40000</v>
      </c>
      <c r="O103" s="825">
        <v>40000</v>
      </c>
      <c r="P103" s="825">
        <v>40000</v>
      </c>
      <c r="Q103" s="1036"/>
      <c r="R103" s="1030">
        <f>SUM(P103:Q103)</f>
        <v>40000</v>
      </c>
      <c r="S103" s="1059"/>
      <c r="T103" s="1030">
        <f>SUM(R103:S103)</f>
        <v>40000</v>
      </c>
      <c r="U103" s="1059"/>
      <c r="V103" s="1030">
        <f>SUM(T103:U103)</f>
        <v>40000</v>
      </c>
    </row>
    <row r="104" spans="1:22" hidden="1">
      <c r="A104" s="773">
        <v>3111</v>
      </c>
      <c r="B104" s="772">
        <v>5331</v>
      </c>
      <c r="C104" s="785" t="s">
        <v>631</v>
      </c>
      <c r="D104" s="784"/>
      <c r="E104" s="784">
        <v>499200</v>
      </c>
      <c r="F104" s="784"/>
      <c r="G104" s="784">
        <f t="shared" si="18"/>
        <v>499200</v>
      </c>
      <c r="H104" s="784">
        <f t="shared" si="19"/>
        <v>499200</v>
      </c>
      <c r="I104" s="784">
        <f>1300*96*12</f>
        <v>1497600</v>
      </c>
      <c r="J104" s="803"/>
      <c r="K104" s="784">
        <v>1123200</v>
      </c>
      <c r="L104" s="784">
        <v>956700</v>
      </c>
      <c r="M104" s="825">
        <v>956700</v>
      </c>
      <c r="N104" s="825">
        <v>1313700</v>
      </c>
      <c r="O104" s="825">
        <v>1313700</v>
      </c>
      <c r="P104" s="825">
        <v>1474000</v>
      </c>
      <c r="Q104" s="1036"/>
      <c r="R104" s="1030">
        <f>SUM(P104:Q104)</f>
        <v>1474000</v>
      </c>
      <c r="S104" s="1059"/>
      <c r="T104" s="1030">
        <f>SUM(R104:S104)</f>
        <v>1474000</v>
      </c>
      <c r="U104" s="1059"/>
      <c r="V104" s="1030">
        <f>SUM(T104:U104)</f>
        <v>1474000</v>
      </c>
    </row>
    <row r="105" spans="1:22" hidden="1">
      <c r="A105" s="836">
        <v>3111</v>
      </c>
      <c r="B105" s="837">
        <v>6121</v>
      </c>
      <c r="C105" s="838" t="s">
        <v>632</v>
      </c>
      <c r="D105" s="839">
        <f>20000000+10000000</f>
        <v>30000000</v>
      </c>
      <c r="E105" s="839">
        <v>26500000</v>
      </c>
      <c r="F105" s="839">
        <v>24569003.579999998</v>
      </c>
      <c r="G105" s="839">
        <v>0</v>
      </c>
      <c r="H105" s="839">
        <f t="shared" si="19"/>
        <v>24569003.579999998</v>
      </c>
      <c r="I105" s="839" t="e">
        <f>#REF!</f>
        <v>#REF!</v>
      </c>
      <c r="J105" s="1023"/>
      <c r="K105" s="839"/>
      <c r="L105" s="839">
        <v>0</v>
      </c>
      <c r="M105" s="845"/>
      <c r="N105" s="845"/>
      <c r="O105" s="845"/>
      <c r="P105" s="842">
        <v>600000</v>
      </c>
      <c r="Q105" s="1036"/>
      <c r="R105" s="1030">
        <f>SUM(P105:Q105)</f>
        <v>600000</v>
      </c>
      <c r="S105" s="1059"/>
      <c r="T105" s="1030">
        <f>SUM(R105:S105)</f>
        <v>600000</v>
      </c>
      <c r="U105" s="1059"/>
      <c r="V105" s="1030">
        <f>SUM(T105:U105)</f>
        <v>600000</v>
      </c>
    </row>
    <row r="106" spans="1:22" hidden="1">
      <c r="A106" s="773">
        <v>3113</v>
      </c>
      <c r="B106" s="772">
        <v>5169</v>
      </c>
      <c r="C106" s="785" t="s">
        <v>1225</v>
      </c>
      <c r="D106" s="784"/>
      <c r="E106" s="784"/>
      <c r="F106" s="784"/>
      <c r="G106" s="784"/>
      <c r="H106" s="784"/>
      <c r="I106" s="784"/>
      <c r="J106" s="803"/>
      <c r="K106" s="784"/>
      <c r="L106" s="784"/>
      <c r="M106" s="825">
        <v>600000</v>
      </c>
      <c r="N106" s="825"/>
      <c r="O106" s="825">
        <v>40000</v>
      </c>
      <c r="P106" s="825">
        <v>350000</v>
      </c>
      <c r="Q106" s="1036"/>
      <c r="R106" s="1030">
        <f>SUM(P106:Q106)</f>
        <v>350000</v>
      </c>
      <c r="S106" s="1059"/>
      <c r="T106" s="1030">
        <f>SUM(R106:S106)</f>
        <v>350000</v>
      </c>
      <c r="U106" s="1059"/>
      <c r="V106" s="1030">
        <f>SUM(T106:U106)</f>
        <v>350000</v>
      </c>
    </row>
    <row r="107" spans="1:22" hidden="1">
      <c r="A107" s="892">
        <v>3113</v>
      </c>
      <c r="B107" s="893">
        <v>6121</v>
      </c>
      <c r="C107" s="894" t="s">
        <v>635</v>
      </c>
      <c r="D107" s="895"/>
      <c r="E107" s="895"/>
      <c r="F107" s="895"/>
      <c r="G107" s="895"/>
      <c r="H107" s="895"/>
      <c r="I107" s="895"/>
      <c r="J107" s="897"/>
      <c r="K107" s="895"/>
      <c r="L107" s="895"/>
      <c r="M107" s="898"/>
      <c r="N107" s="898">
        <v>300000</v>
      </c>
      <c r="O107" s="890"/>
      <c r="P107" s="890"/>
      <c r="Q107" s="1036"/>
      <c r="R107" s="1030"/>
      <c r="S107" s="1059"/>
      <c r="T107" s="496"/>
      <c r="U107" s="1059"/>
      <c r="V107" s="1030"/>
    </row>
    <row r="108" spans="1:22" hidden="1">
      <c r="A108" s="836">
        <v>3113</v>
      </c>
      <c r="B108" s="837">
        <v>6351</v>
      </c>
      <c r="C108" s="838" t="s">
        <v>636</v>
      </c>
      <c r="D108" s="839">
        <v>2000000</v>
      </c>
      <c r="E108" s="839">
        <v>2000000</v>
      </c>
      <c r="F108" s="839"/>
      <c r="G108" s="839" t="e">
        <f>#REF!</f>
        <v>#REF!</v>
      </c>
      <c r="H108" s="839" t="e">
        <f t="shared" si="19"/>
        <v>#REF!</v>
      </c>
      <c r="I108" s="839" t="e">
        <f>#REF!</f>
        <v>#REF!</v>
      </c>
      <c r="J108" s="1023"/>
      <c r="K108" s="839">
        <v>60355</v>
      </c>
      <c r="L108" s="839">
        <v>600000</v>
      </c>
      <c r="M108" s="842">
        <v>1500000</v>
      </c>
      <c r="N108" s="842">
        <v>3100000</v>
      </c>
      <c r="O108" s="842">
        <v>500000</v>
      </c>
      <c r="P108" s="842">
        <v>2000000</v>
      </c>
      <c r="Q108" s="1036"/>
      <c r="R108" s="1030">
        <f t="shared" ref="R108:R113" si="23">SUM(P108:Q108)</f>
        <v>2000000</v>
      </c>
      <c r="S108" s="1059"/>
      <c r="T108" s="1030">
        <f t="shared" ref="T108:T113" si="24">SUM(R108:S108)</f>
        <v>2000000</v>
      </c>
      <c r="U108" s="1059"/>
      <c r="V108" s="1030">
        <f t="shared" ref="V108:V113" si="25">SUM(T108:U108)</f>
        <v>2000000</v>
      </c>
    </row>
    <row r="109" spans="1:22" hidden="1">
      <c r="A109" s="773">
        <v>3326</v>
      </c>
      <c r="B109" s="772">
        <v>5171</v>
      </c>
      <c r="C109" s="785" t="s">
        <v>638</v>
      </c>
      <c r="D109" s="784"/>
      <c r="E109" s="784"/>
      <c r="F109" s="784"/>
      <c r="G109" s="784"/>
      <c r="H109" s="784"/>
      <c r="I109" s="784"/>
      <c r="J109" s="803"/>
      <c r="K109" s="784"/>
      <c r="L109" s="784"/>
      <c r="M109" s="825"/>
      <c r="N109" s="825"/>
      <c r="O109" s="825"/>
      <c r="P109" s="825">
        <v>300000</v>
      </c>
      <c r="Q109" s="1036"/>
      <c r="R109" s="1030">
        <f t="shared" si="23"/>
        <v>300000</v>
      </c>
      <c r="S109" s="1059"/>
      <c r="T109" s="1030">
        <f t="shared" si="24"/>
        <v>300000</v>
      </c>
      <c r="U109" s="1059"/>
      <c r="V109" s="1030">
        <f t="shared" si="25"/>
        <v>300000</v>
      </c>
    </row>
    <row r="110" spans="1:22" hidden="1">
      <c r="A110" s="773">
        <v>3399</v>
      </c>
      <c r="B110" s="772">
        <v>5139</v>
      </c>
      <c r="C110" s="785" t="s">
        <v>639</v>
      </c>
      <c r="D110" s="784">
        <v>40000</v>
      </c>
      <c r="E110" s="784">
        <v>40000</v>
      </c>
      <c r="F110" s="784"/>
      <c r="G110" s="784">
        <f t="shared" si="18"/>
        <v>40000</v>
      </c>
      <c r="H110" s="784">
        <f t="shared" si="19"/>
        <v>40000</v>
      </c>
      <c r="I110" s="784">
        <f t="shared" ref="I110:I121" si="26">H110</f>
        <v>40000</v>
      </c>
      <c r="J110" s="803"/>
      <c r="K110" s="784"/>
      <c r="L110" s="784">
        <v>40000</v>
      </c>
      <c r="M110" s="825">
        <v>20000</v>
      </c>
      <c r="N110" s="825">
        <v>40000</v>
      </c>
      <c r="O110" s="825">
        <v>40000</v>
      </c>
      <c r="P110" s="825">
        <v>40000</v>
      </c>
      <c r="Q110" s="1036"/>
      <c r="R110" s="1030">
        <f t="shared" si="23"/>
        <v>40000</v>
      </c>
      <c r="S110" s="1059"/>
      <c r="T110" s="1030">
        <f t="shared" si="24"/>
        <v>40000</v>
      </c>
      <c r="U110" s="1059"/>
      <c r="V110" s="1030">
        <f t="shared" si="25"/>
        <v>40000</v>
      </c>
    </row>
    <row r="111" spans="1:22" hidden="1">
      <c r="A111" s="773">
        <v>3399</v>
      </c>
      <c r="B111" s="772">
        <v>5169</v>
      </c>
      <c r="C111" s="785" t="s">
        <v>640</v>
      </c>
      <c r="D111" s="784">
        <v>20000</v>
      </c>
      <c r="E111" s="784">
        <v>20000</v>
      </c>
      <c r="F111" s="784">
        <v>32166</v>
      </c>
      <c r="G111" s="784">
        <v>0</v>
      </c>
      <c r="H111" s="784">
        <f t="shared" si="19"/>
        <v>32166</v>
      </c>
      <c r="I111" s="784">
        <f t="shared" si="26"/>
        <v>32166</v>
      </c>
      <c r="J111" s="803"/>
      <c r="K111" s="784">
        <v>64530</v>
      </c>
      <c r="L111" s="784">
        <v>65000</v>
      </c>
      <c r="M111" s="825">
        <v>65000</v>
      </c>
      <c r="N111" s="825">
        <v>65000</v>
      </c>
      <c r="O111" s="825">
        <v>140000</v>
      </c>
      <c r="P111" s="825">
        <v>140000</v>
      </c>
      <c r="Q111" s="1036"/>
      <c r="R111" s="1030">
        <f t="shared" si="23"/>
        <v>140000</v>
      </c>
      <c r="S111" s="1059"/>
      <c r="T111" s="1030">
        <f t="shared" si="24"/>
        <v>140000</v>
      </c>
      <c r="U111" s="1059"/>
      <c r="V111" s="1030">
        <f t="shared" si="25"/>
        <v>140000</v>
      </c>
    </row>
    <row r="112" spans="1:22" hidden="1">
      <c r="A112" s="773">
        <v>3399</v>
      </c>
      <c r="B112" s="772">
        <v>5175</v>
      </c>
      <c r="C112" s="785" t="s">
        <v>641</v>
      </c>
      <c r="D112" s="784">
        <v>100000</v>
      </c>
      <c r="E112" s="784">
        <v>100000</v>
      </c>
      <c r="F112" s="784">
        <v>50556</v>
      </c>
      <c r="G112" s="784">
        <f t="shared" si="18"/>
        <v>49444</v>
      </c>
      <c r="H112" s="784">
        <f t="shared" si="19"/>
        <v>100000</v>
      </c>
      <c r="I112" s="784">
        <f t="shared" si="26"/>
        <v>100000</v>
      </c>
      <c r="J112" s="803"/>
      <c r="K112" s="784">
        <v>45610</v>
      </c>
      <c r="L112" s="784">
        <v>100000</v>
      </c>
      <c r="M112" s="825">
        <v>80000</v>
      </c>
      <c r="N112" s="825">
        <v>100000</v>
      </c>
      <c r="O112" s="825">
        <v>30000</v>
      </c>
      <c r="P112" s="825">
        <v>50000</v>
      </c>
      <c r="Q112" s="1036"/>
      <c r="R112" s="1030">
        <f t="shared" si="23"/>
        <v>50000</v>
      </c>
      <c r="S112" s="1059"/>
      <c r="T112" s="1030">
        <f t="shared" si="24"/>
        <v>50000</v>
      </c>
      <c r="U112" s="1059"/>
      <c r="V112" s="1030">
        <f t="shared" si="25"/>
        <v>50000</v>
      </c>
    </row>
    <row r="113" spans="1:22" hidden="1">
      <c r="A113" s="773">
        <v>3399</v>
      </c>
      <c r="B113" s="772">
        <v>5194</v>
      </c>
      <c r="C113" s="785" t="s">
        <v>642</v>
      </c>
      <c r="D113" s="784">
        <v>15000</v>
      </c>
      <c r="E113" s="784">
        <v>15000</v>
      </c>
      <c r="F113" s="784">
        <v>14779</v>
      </c>
      <c r="G113" s="784">
        <f t="shared" si="18"/>
        <v>221</v>
      </c>
      <c r="H113" s="784">
        <f t="shared" si="19"/>
        <v>15000</v>
      </c>
      <c r="I113" s="784">
        <f t="shared" si="26"/>
        <v>15000</v>
      </c>
      <c r="J113" s="803"/>
      <c r="K113" s="784">
        <v>20000</v>
      </c>
      <c r="L113" s="784">
        <v>20000</v>
      </c>
      <c r="M113" s="825">
        <v>70000</v>
      </c>
      <c r="N113" s="825">
        <v>40000</v>
      </c>
      <c r="O113" s="825">
        <v>40000</v>
      </c>
      <c r="P113" s="825">
        <v>40000</v>
      </c>
      <c r="Q113" s="1036"/>
      <c r="R113" s="1030">
        <f t="shared" si="23"/>
        <v>40000</v>
      </c>
      <c r="S113" s="1059"/>
      <c r="T113" s="1030">
        <f t="shared" si="24"/>
        <v>40000</v>
      </c>
      <c r="U113" s="1059"/>
      <c r="V113" s="1030">
        <f t="shared" si="25"/>
        <v>40000</v>
      </c>
    </row>
    <row r="114" spans="1:22" hidden="1">
      <c r="A114" s="773">
        <v>3421</v>
      </c>
      <c r="B114" s="772">
        <v>5139</v>
      </c>
      <c r="C114" s="785" t="s">
        <v>643</v>
      </c>
      <c r="D114" s="784"/>
      <c r="E114" s="784"/>
      <c r="F114" s="784">
        <v>890</v>
      </c>
      <c r="G114" s="784">
        <v>0</v>
      </c>
      <c r="H114" s="784">
        <f t="shared" si="19"/>
        <v>890</v>
      </c>
      <c r="I114" s="784">
        <f t="shared" si="26"/>
        <v>890</v>
      </c>
      <c r="J114" s="803"/>
      <c r="K114" s="784"/>
      <c r="L114" s="784"/>
      <c r="M114" s="825">
        <v>5000</v>
      </c>
      <c r="N114" s="825">
        <v>5000</v>
      </c>
      <c r="O114" s="825"/>
      <c r="P114" s="825"/>
      <c r="Q114" s="1036"/>
      <c r="R114" s="1030"/>
      <c r="S114" s="1059"/>
      <c r="T114" s="496"/>
      <c r="U114" s="1059"/>
      <c r="V114" s="1030"/>
    </row>
    <row r="115" spans="1:22" hidden="1">
      <c r="A115" s="773">
        <v>3421</v>
      </c>
      <c r="B115" s="772">
        <v>5169</v>
      </c>
      <c r="C115" s="785" t="s">
        <v>644</v>
      </c>
      <c r="D115" s="784">
        <v>5000</v>
      </c>
      <c r="E115" s="784">
        <v>265000</v>
      </c>
      <c r="F115" s="784"/>
      <c r="G115" s="784">
        <v>25000</v>
      </c>
      <c r="H115" s="784">
        <f t="shared" si="19"/>
        <v>25000</v>
      </c>
      <c r="I115" s="784">
        <f t="shared" si="26"/>
        <v>25000</v>
      </c>
      <c r="J115" s="803"/>
      <c r="K115" s="784"/>
      <c r="L115" s="784">
        <v>25000</v>
      </c>
      <c r="M115" s="825">
        <v>25000</v>
      </c>
      <c r="N115" s="825">
        <v>25000</v>
      </c>
      <c r="O115" s="825">
        <v>25000</v>
      </c>
      <c r="P115" s="825">
        <v>25000</v>
      </c>
      <c r="Q115" s="1036"/>
      <c r="R115" s="1030">
        <f>SUM(P115:Q115)</f>
        <v>25000</v>
      </c>
      <c r="S115" s="1059"/>
      <c r="T115" s="1030">
        <f>SUM(R115:S115)</f>
        <v>25000</v>
      </c>
      <c r="U115" s="1059"/>
      <c r="V115" s="1030">
        <f>SUM(T115:U115)</f>
        <v>25000</v>
      </c>
    </row>
    <row r="116" spans="1:22" hidden="1">
      <c r="A116" s="836">
        <v>3412</v>
      </c>
      <c r="B116" s="837">
        <v>6121</v>
      </c>
      <c r="C116" s="838" t="s">
        <v>645</v>
      </c>
      <c r="D116" s="839"/>
      <c r="E116" s="839"/>
      <c r="F116" s="839"/>
      <c r="G116" s="839"/>
      <c r="H116" s="839"/>
      <c r="I116" s="839"/>
      <c r="J116" s="1022"/>
      <c r="K116" s="839"/>
      <c r="L116" s="839">
        <v>3000000</v>
      </c>
      <c r="M116" s="842"/>
      <c r="N116" s="842"/>
      <c r="O116" s="842">
        <v>450000</v>
      </c>
      <c r="P116" s="842">
        <v>10000000</v>
      </c>
      <c r="Q116" s="1036"/>
      <c r="R116" s="1030">
        <f>SUM(P116:Q116)</f>
        <v>10000000</v>
      </c>
      <c r="S116" s="1059"/>
      <c r="T116" s="1030">
        <f>SUM(R116:S116)</f>
        <v>10000000</v>
      </c>
      <c r="U116" s="1059"/>
      <c r="V116" s="1030">
        <f>SUM(T116:U116)</f>
        <v>10000000</v>
      </c>
    </row>
    <row r="117" spans="1:22" hidden="1">
      <c r="A117" s="836">
        <v>3412</v>
      </c>
      <c r="B117" s="837">
        <v>6122</v>
      </c>
      <c r="C117" s="838" t="s">
        <v>647</v>
      </c>
      <c r="D117" s="839"/>
      <c r="E117" s="839"/>
      <c r="F117" s="839"/>
      <c r="G117" s="839" t="e">
        <f>#REF!</f>
        <v>#REF!</v>
      </c>
      <c r="H117" s="839" t="e">
        <f t="shared" si="19"/>
        <v>#REF!</v>
      </c>
      <c r="I117" s="839" t="e">
        <f>#REF!</f>
        <v>#REF!</v>
      </c>
      <c r="J117" s="1022"/>
      <c r="K117" s="839"/>
      <c r="L117" s="839">
        <v>4000000</v>
      </c>
      <c r="M117" s="842">
        <v>430000</v>
      </c>
      <c r="N117" s="842">
        <v>650000</v>
      </c>
      <c r="O117" s="842">
        <v>500000</v>
      </c>
      <c r="P117" s="842">
        <v>1250000</v>
      </c>
      <c r="Q117" s="1036"/>
      <c r="R117" s="1030">
        <f>SUM(P117:Q117)</f>
        <v>1250000</v>
      </c>
      <c r="S117" s="1059"/>
      <c r="T117" s="1030">
        <f>SUM(R117:S117)</f>
        <v>1250000</v>
      </c>
      <c r="U117" s="1059"/>
      <c r="V117" s="1030">
        <f>SUM(T117:U117)</f>
        <v>1250000</v>
      </c>
    </row>
    <row r="118" spans="1:22" hidden="1">
      <c r="A118" s="773">
        <v>3613</v>
      </c>
      <c r="B118" s="772">
        <v>5171</v>
      </c>
      <c r="C118" s="785" t="s">
        <v>649</v>
      </c>
      <c r="D118" s="784">
        <v>10000</v>
      </c>
      <c r="E118" s="784">
        <v>400000</v>
      </c>
      <c r="F118" s="784">
        <v>229711</v>
      </c>
      <c r="G118" s="784">
        <f t="shared" si="18"/>
        <v>170289</v>
      </c>
      <c r="H118" s="784">
        <f t="shared" si="19"/>
        <v>400000</v>
      </c>
      <c r="I118" s="784">
        <f t="shared" si="26"/>
        <v>400000</v>
      </c>
      <c r="J118" s="803"/>
      <c r="K118" s="784">
        <v>236110</v>
      </c>
      <c r="L118" s="784">
        <v>200000</v>
      </c>
      <c r="M118" s="825"/>
      <c r="N118" s="825">
        <v>150000</v>
      </c>
      <c r="O118" s="825"/>
      <c r="P118" s="825"/>
      <c r="Q118" s="1036"/>
      <c r="R118" s="1030"/>
      <c r="S118" s="1059"/>
      <c r="T118" s="496"/>
      <c r="U118" s="1059"/>
      <c r="V118" s="1030"/>
    </row>
    <row r="119" spans="1:22">
      <c r="A119" s="836">
        <v>3613</v>
      </c>
      <c r="B119" s="837">
        <v>6121</v>
      </c>
      <c r="C119" s="838" t="s">
        <v>650</v>
      </c>
      <c r="D119" s="839"/>
      <c r="E119" s="839"/>
      <c r="F119" s="839"/>
      <c r="G119" s="839"/>
      <c r="H119" s="839"/>
      <c r="I119" s="839"/>
      <c r="J119" s="1022"/>
      <c r="K119" s="839"/>
      <c r="L119" s="839"/>
      <c r="M119" s="842"/>
      <c r="N119" s="842"/>
      <c r="O119" s="842"/>
      <c r="P119" s="842">
        <v>4000000</v>
      </c>
      <c r="Q119" s="1036">
        <v>1000000</v>
      </c>
      <c r="R119" s="1030">
        <f t="shared" ref="R119:R151" si="27">SUM(P119:Q119)</f>
        <v>5000000</v>
      </c>
      <c r="S119" s="1059"/>
      <c r="T119" s="1030">
        <f t="shared" ref="T119:T151" si="28">SUM(R119:S119)</f>
        <v>5000000</v>
      </c>
      <c r="U119" s="1059">
        <v>3000000</v>
      </c>
      <c r="V119" s="1030">
        <f t="shared" ref="V119:V151" si="29">SUM(T119:U119)</f>
        <v>8000000</v>
      </c>
    </row>
    <row r="120" spans="1:22" hidden="1">
      <c r="A120" s="773">
        <v>3631</v>
      </c>
      <c r="B120" s="772">
        <v>5154</v>
      </c>
      <c r="C120" s="785" t="s">
        <v>651</v>
      </c>
      <c r="D120" s="784">
        <v>350000</v>
      </c>
      <c r="E120" s="784">
        <v>350000</v>
      </c>
      <c r="F120" s="784">
        <v>389002</v>
      </c>
      <c r="G120" s="784">
        <v>0</v>
      </c>
      <c r="H120" s="784">
        <f t="shared" si="19"/>
        <v>389002</v>
      </c>
      <c r="I120" s="784">
        <f t="shared" si="26"/>
        <v>389002</v>
      </c>
      <c r="J120" s="803"/>
      <c r="K120" s="784">
        <v>392293</v>
      </c>
      <c r="L120" s="784">
        <v>450000</v>
      </c>
      <c r="M120" s="825">
        <v>600000</v>
      </c>
      <c r="N120" s="825">
        <v>650000</v>
      </c>
      <c r="O120" s="825">
        <v>600000</v>
      </c>
      <c r="P120" s="825">
        <v>1000000</v>
      </c>
      <c r="Q120" s="1036"/>
      <c r="R120" s="1030">
        <f t="shared" si="27"/>
        <v>1000000</v>
      </c>
      <c r="S120" s="1059"/>
      <c r="T120" s="1030">
        <f t="shared" si="28"/>
        <v>1000000</v>
      </c>
      <c r="U120" s="1059"/>
      <c r="V120" s="1030">
        <f t="shared" si="29"/>
        <v>1000000</v>
      </c>
    </row>
    <row r="121" spans="1:22" hidden="1">
      <c r="A121" s="773">
        <v>3631</v>
      </c>
      <c r="B121" s="772">
        <v>5171</v>
      </c>
      <c r="C121" s="785" t="s">
        <v>652</v>
      </c>
      <c r="D121" s="784">
        <v>200000</v>
      </c>
      <c r="E121" s="784">
        <v>200000</v>
      </c>
      <c r="F121" s="784">
        <v>121840</v>
      </c>
      <c r="G121" s="784">
        <f t="shared" ref="G121:G154" si="30">E121-F121</f>
        <v>78160</v>
      </c>
      <c r="H121" s="784">
        <f t="shared" si="19"/>
        <v>200000</v>
      </c>
      <c r="I121" s="784">
        <f t="shared" si="26"/>
        <v>200000</v>
      </c>
      <c r="J121" s="803"/>
      <c r="K121" s="784">
        <v>200800</v>
      </c>
      <c r="L121" s="784">
        <v>230000</v>
      </c>
      <c r="M121" s="825">
        <v>200000</v>
      </c>
      <c r="N121" s="825">
        <v>200000</v>
      </c>
      <c r="O121" s="825">
        <v>250000</v>
      </c>
      <c r="P121" s="825">
        <v>2000000</v>
      </c>
      <c r="Q121" s="1036"/>
      <c r="R121" s="1030">
        <f t="shared" si="27"/>
        <v>2000000</v>
      </c>
      <c r="S121" s="1059"/>
      <c r="T121" s="1030">
        <f t="shared" si="28"/>
        <v>2000000</v>
      </c>
      <c r="U121" s="1059"/>
      <c r="V121" s="1030">
        <f t="shared" si="29"/>
        <v>2000000</v>
      </c>
    </row>
    <row r="122" spans="1:22" hidden="1">
      <c r="A122" s="836">
        <v>3631</v>
      </c>
      <c r="B122" s="837">
        <v>6121</v>
      </c>
      <c r="C122" s="838" t="s">
        <v>654</v>
      </c>
      <c r="D122" s="839">
        <v>300000</v>
      </c>
      <c r="E122" s="839">
        <v>300000</v>
      </c>
      <c r="F122" s="839"/>
      <c r="G122" s="839">
        <v>0</v>
      </c>
      <c r="H122" s="839">
        <f t="shared" si="19"/>
        <v>0</v>
      </c>
      <c r="I122" s="839" t="e">
        <f>#REF!</f>
        <v>#REF!</v>
      </c>
      <c r="J122" s="1022"/>
      <c r="K122" s="839">
        <v>1236834</v>
      </c>
      <c r="L122" s="839">
        <v>0</v>
      </c>
      <c r="M122" s="845"/>
      <c r="N122" s="842">
        <v>5600000</v>
      </c>
      <c r="O122" s="845"/>
      <c r="P122" s="842">
        <v>5600000</v>
      </c>
      <c r="Q122" s="1036"/>
      <c r="R122" s="1030">
        <f t="shared" si="27"/>
        <v>5600000</v>
      </c>
      <c r="S122" s="1059"/>
      <c r="T122" s="1030">
        <f t="shared" si="28"/>
        <v>5600000</v>
      </c>
      <c r="U122" s="1059"/>
      <c r="V122" s="1030">
        <f t="shared" si="29"/>
        <v>5600000</v>
      </c>
    </row>
    <row r="123" spans="1:22" hidden="1">
      <c r="A123" s="773">
        <v>3635</v>
      </c>
      <c r="B123" s="772">
        <v>5169</v>
      </c>
      <c r="C123" s="785" t="s">
        <v>656</v>
      </c>
      <c r="D123" s="784"/>
      <c r="E123" s="784">
        <v>120000</v>
      </c>
      <c r="F123" s="784">
        <v>115705</v>
      </c>
      <c r="G123" s="784">
        <f t="shared" si="30"/>
        <v>4295</v>
      </c>
      <c r="H123" s="784">
        <f t="shared" si="19"/>
        <v>120000</v>
      </c>
      <c r="I123" s="784">
        <f>H123</f>
        <v>120000</v>
      </c>
      <c r="J123" s="803"/>
      <c r="K123" s="784">
        <v>148830</v>
      </c>
      <c r="L123" s="784">
        <v>120000</v>
      </c>
      <c r="M123" s="825">
        <v>50000</v>
      </c>
      <c r="N123" s="825">
        <v>50000</v>
      </c>
      <c r="O123" s="825"/>
      <c r="P123" s="825">
        <v>300000</v>
      </c>
      <c r="Q123" s="1036"/>
      <c r="R123" s="1030">
        <f t="shared" si="27"/>
        <v>300000</v>
      </c>
      <c r="S123" s="1059"/>
      <c r="T123" s="1030">
        <f t="shared" si="28"/>
        <v>300000</v>
      </c>
      <c r="U123" s="1059"/>
      <c r="V123" s="1030">
        <f t="shared" si="29"/>
        <v>300000</v>
      </c>
    </row>
    <row r="124" spans="1:22" hidden="1">
      <c r="A124" s="773">
        <v>3639</v>
      </c>
      <c r="B124" s="772">
        <v>5169</v>
      </c>
      <c r="C124" s="785" t="s">
        <v>657</v>
      </c>
      <c r="D124" s="784">
        <v>50000</v>
      </c>
      <c r="E124" s="784">
        <v>1316000</v>
      </c>
      <c r="F124" s="784">
        <v>256950</v>
      </c>
      <c r="G124" s="784">
        <f t="shared" si="30"/>
        <v>1059050</v>
      </c>
      <c r="H124" s="784">
        <f t="shared" si="19"/>
        <v>1316000</v>
      </c>
      <c r="I124" s="784">
        <f>H124-700000</f>
        <v>616000</v>
      </c>
      <c r="J124" s="1024"/>
      <c r="K124" s="784">
        <v>72480</v>
      </c>
      <c r="L124" s="784">
        <v>200000</v>
      </c>
      <c r="M124" s="825">
        <v>450000</v>
      </c>
      <c r="N124" s="825">
        <v>200000</v>
      </c>
      <c r="O124" s="825">
        <v>250000</v>
      </c>
      <c r="P124" s="825">
        <v>250000</v>
      </c>
      <c r="Q124" s="1036"/>
      <c r="R124" s="1030">
        <f t="shared" si="27"/>
        <v>250000</v>
      </c>
      <c r="S124" s="1059"/>
      <c r="T124" s="1030">
        <f t="shared" si="28"/>
        <v>250000</v>
      </c>
      <c r="U124" s="1059"/>
      <c r="V124" s="1030">
        <f t="shared" si="29"/>
        <v>250000</v>
      </c>
    </row>
    <row r="125" spans="1:22" hidden="1">
      <c r="A125" s="836">
        <v>3639</v>
      </c>
      <c r="B125" s="837">
        <v>6122</v>
      </c>
      <c r="C125" s="838" t="s">
        <v>658</v>
      </c>
      <c r="D125" s="839"/>
      <c r="E125" s="839"/>
      <c r="F125" s="839"/>
      <c r="G125" s="839"/>
      <c r="H125" s="839"/>
      <c r="I125" s="839"/>
      <c r="J125" s="1022"/>
      <c r="K125" s="839"/>
      <c r="L125" s="839"/>
      <c r="M125" s="842"/>
      <c r="N125" s="842"/>
      <c r="O125" s="842"/>
      <c r="P125" s="842">
        <v>200000</v>
      </c>
      <c r="Q125" s="1036"/>
      <c r="R125" s="1030">
        <f t="shared" si="27"/>
        <v>200000</v>
      </c>
      <c r="S125" s="1059"/>
      <c r="T125" s="1030">
        <f t="shared" si="28"/>
        <v>200000</v>
      </c>
      <c r="U125" s="1059"/>
      <c r="V125" s="1030">
        <f t="shared" si="29"/>
        <v>200000</v>
      </c>
    </row>
    <row r="126" spans="1:22" hidden="1">
      <c r="A126" s="836">
        <v>3639</v>
      </c>
      <c r="B126" s="837">
        <v>6121</v>
      </c>
      <c r="C126" s="838" t="s">
        <v>660</v>
      </c>
      <c r="D126" s="839"/>
      <c r="E126" s="839"/>
      <c r="F126" s="839"/>
      <c r="G126" s="839" t="e">
        <f>#REF!</f>
        <v>#REF!</v>
      </c>
      <c r="H126" s="839" t="e">
        <f t="shared" si="19"/>
        <v>#REF!</v>
      </c>
      <c r="I126" s="839"/>
      <c r="J126" s="1023"/>
      <c r="K126" s="839"/>
      <c r="L126" s="1025" t="e">
        <f>#REF!</f>
        <v>#REF!</v>
      </c>
      <c r="M126" s="845"/>
      <c r="N126" s="845"/>
      <c r="O126" s="842">
        <v>105000</v>
      </c>
      <c r="P126" s="842">
        <v>6000000</v>
      </c>
      <c r="Q126" s="1036"/>
      <c r="R126" s="1030">
        <f t="shared" si="27"/>
        <v>6000000</v>
      </c>
      <c r="S126" s="1059"/>
      <c r="T126" s="1030">
        <f t="shared" si="28"/>
        <v>6000000</v>
      </c>
      <c r="U126" s="1059"/>
      <c r="V126" s="1030">
        <f t="shared" si="29"/>
        <v>6000000</v>
      </c>
    </row>
    <row r="127" spans="1:22" hidden="1">
      <c r="A127" s="836">
        <v>3639</v>
      </c>
      <c r="B127" s="837">
        <v>6122</v>
      </c>
      <c r="C127" s="838" t="s">
        <v>1231</v>
      </c>
      <c r="D127" s="839"/>
      <c r="E127" s="839"/>
      <c r="F127" s="839"/>
      <c r="G127" s="839"/>
      <c r="H127" s="839"/>
      <c r="I127" s="839"/>
      <c r="J127" s="1023"/>
      <c r="K127" s="839"/>
      <c r="L127" s="1025"/>
      <c r="M127" s="845"/>
      <c r="N127" s="845"/>
      <c r="O127" s="842"/>
      <c r="P127" s="842"/>
      <c r="Q127" s="1036">
        <v>200000</v>
      </c>
      <c r="R127" s="1030">
        <f t="shared" si="27"/>
        <v>200000</v>
      </c>
      <c r="S127" s="1059"/>
      <c r="T127" s="1030">
        <f t="shared" si="28"/>
        <v>200000</v>
      </c>
      <c r="U127" s="1059"/>
      <c r="V127" s="1030">
        <f t="shared" si="29"/>
        <v>200000</v>
      </c>
    </row>
    <row r="128" spans="1:22">
      <c r="A128" s="836">
        <v>3639</v>
      </c>
      <c r="B128" s="837">
        <v>6130</v>
      </c>
      <c r="C128" s="838" t="s">
        <v>661</v>
      </c>
      <c r="D128" s="839"/>
      <c r="E128" s="839"/>
      <c r="F128" s="839"/>
      <c r="G128" s="839"/>
      <c r="H128" s="839"/>
      <c r="I128" s="839"/>
      <c r="J128" s="1023"/>
      <c r="K128" s="839">
        <v>1010000</v>
      </c>
      <c r="L128" s="839"/>
      <c r="M128" s="845"/>
      <c r="N128" s="842">
        <v>2000000</v>
      </c>
      <c r="O128" s="842">
        <v>2510000</v>
      </c>
      <c r="P128" s="842">
        <v>10000000</v>
      </c>
      <c r="Q128" s="1036">
        <v>9942000</v>
      </c>
      <c r="R128" s="1030">
        <f t="shared" si="27"/>
        <v>19942000</v>
      </c>
      <c r="S128" s="1059">
        <v>10000</v>
      </c>
      <c r="T128" s="1030">
        <f t="shared" si="28"/>
        <v>19952000</v>
      </c>
      <c r="U128" s="1059">
        <v>251200</v>
      </c>
      <c r="V128" s="1030">
        <f t="shared" si="29"/>
        <v>20203200</v>
      </c>
    </row>
    <row r="129" spans="1:22" hidden="1">
      <c r="A129" s="773">
        <v>3721</v>
      </c>
      <c r="B129" s="772">
        <v>5169</v>
      </c>
      <c r="C129" s="785" t="s">
        <v>663</v>
      </c>
      <c r="D129" s="784"/>
      <c r="E129" s="784"/>
      <c r="F129" s="784"/>
      <c r="G129" s="784"/>
      <c r="H129" s="784"/>
      <c r="I129" s="784"/>
      <c r="J129" s="803"/>
      <c r="K129" s="784"/>
      <c r="L129" s="784"/>
      <c r="M129" s="825">
        <v>20000</v>
      </c>
      <c r="N129" s="825">
        <v>20000</v>
      </c>
      <c r="O129" s="825">
        <v>40000</v>
      </c>
      <c r="P129" s="825">
        <v>50000</v>
      </c>
      <c r="Q129" s="1036"/>
      <c r="R129" s="1030">
        <f t="shared" si="27"/>
        <v>50000</v>
      </c>
      <c r="S129" s="1059"/>
      <c r="T129" s="1030">
        <f t="shared" si="28"/>
        <v>50000</v>
      </c>
      <c r="U129" s="1059"/>
      <c r="V129" s="1030">
        <f t="shared" si="29"/>
        <v>50000</v>
      </c>
    </row>
    <row r="130" spans="1:22" hidden="1">
      <c r="A130" s="773">
        <v>3722</v>
      </c>
      <c r="B130" s="772">
        <v>5169</v>
      </c>
      <c r="C130" s="785" t="s">
        <v>664</v>
      </c>
      <c r="D130" s="784">
        <v>1000000</v>
      </c>
      <c r="E130" s="784">
        <v>1000000</v>
      </c>
      <c r="F130" s="784">
        <v>841076.69</v>
      </c>
      <c r="G130" s="784">
        <f t="shared" si="30"/>
        <v>158923.31000000006</v>
      </c>
      <c r="H130" s="784">
        <f t="shared" si="19"/>
        <v>1000000</v>
      </c>
      <c r="I130" s="784">
        <f>H130+200000</f>
        <v>1200000</v>
      </c>
      <c r="J130" s="803"/>
      <c r="K130" s="784">
        <v>869397</v>
      </c>
      <c r="L130" s="784">
        <v>1320000</v>
      </c>
      <c r="M130" s="825">
        <v>1300000</v>
      </c>
      <c r="N130" s="825">
        <v>1400000</v>
      </c>
      <c r="O130" s="825">
        <v>1700000</v>
      </c>
      <c r="P130" s="825">
        <v>2300000</v>
      </c>
      <c r="Q130" s="1036"/>
      <c r="R130" s="1030">
        <f t="shared" si="27"/>
        <v>2300000</v>
      </c>
      <c r="S130" s="1059"/>
      <c r="T130" s="1030">
        <f t="shared" si="28"/>
        <v>2300000</v>
      </c>
      <c r="U130" s="1059"/>
      <c r="V130" s="1030">
        <f t="shared" si="29"/>
        <v>2300000</v>
      </c>
    </row>
    <row r="131" spans="1:22" hidden="1">
      <c r="A131" s="773">
        <v>3725</v>
      </c>
      <c r="B131" s="772">
        <v>5169</v>
      </c>
      <c r="C131" s="785" t="s">
        <v>665</v>
      </c>
      <c r="D131" s="784">
        <v>750000</v>
      </c>
      <c r="E131" s="784">
        <v>750000</v>
      </c>
      <c r="F131" s="784">
        <v>480203.2</v>
      </c>
      <c r="G131" s="784">
        <f t="shared" si="30"/>
        <v>269796.8</v>
      </c>
      <c r="H131" s="784">
        <f t="shared" si="19"/>
        <v>750000</v>
      </c>
      <c r="I131" s="784">
        <f>H131+100000</f>
        <v>850000</v>
      </c>
      <c r="J131" s="803"/>
      <c r="K131" s="784">
        <v>625633</v>
      </c>
      <c r="L131" s="784">
        <v>935000</v>
      </c>
      <c r="M131" s="825">
        <v>900000</v>
      </c>
      <c r="N131" s="825">
        <v>1100000</v>
      </c>
      <c r="O131" s="825">
        <v>1100000</v>
      </c>
      <c r="P131" s="825">
        <v>1500000</v>
      </c>
      <c r="Q131" s="1036"/>
      <c r="R131" s="1030">
        <f t="shared" si="27"/>
        <v>1500000</v>
      </c>
      <c r="S131" s="1059"/>
      <c r="T131" s="1030">
        <f t="shared" si="28"/>
        <v>1500000</v>
      </c>
      <c r="U131" s="1059"/>
      <c r="V131" s="1030">
        <f t="shared" si="29"/>
        <v>1500000</v>
      </c>
    </row>
    <row r="132" spans="1:22" hidden="1">
      <c r="A132" s="773">
        <v>3726</v>
      </c>
      <c r="B132" s="772">
        <v>5169</v>
      </c>
      <c r="C132" s="785" t="s">
        <v>666</v>
      </c>
      <c r="D132" s="784">
        <v>260000</v>
      </c>
      <c r="E132" s="784">
        <v>260000</v>
      </c>
      <c r="F132" s="784">
        <v>88985.3</v>
      </c>
      <c r="G132" s="784">
        <f t="shared" si="30"/>
        <v>171014.7</v>
      </c>
      <c r="H132" s="784">
        <f t="shared" si="19"/>
        <v>260000</v>
      </c>
      <c r="I132" s="784">
        <f t="shared" ref="I132:I137" si="31">H132</f>
        <v>260000</v>
      </c>
      <c r="J132" s="803"/>
      <c r="K132" s="784">
        <v>169942</v>
      </c>
      <c r="L132" s="784">
        <v>260000</v>
      </c>
      <c r="M132" s="825">
        <v>260000</v>
      </c>
      <c r="N132" s="825">
        <v>330000</v>
      </c>
      <c r="O132" s="825">
        <v>400000</v>
      </c>
      <c r="P132" s="825">
        <v>500000</v>
      </c>
      <c r="Q132" s="1036"/>
      <c r="R132" s="1030">
        <f t="shared" si="27"/>
        <v>500000</v>
      </c>
      <c r="S132" s="1059"/>
      <c r="T132" s="1030">
        <f t="shared" si="28"/>
        <v>500000</v>
      </c>
      <c r="U132" s="1059"/>
      <c r="V132" s="1030">
        <f t="shared" si="29"/>
        <v>500000</v>
      </c>
    </row>
    <row r="133" spans="1:22" hidden="1">
      <c r="A133" s="773">
        <v>3729</v>
      </c>
      <c r="B133" s="772">
        <v>5169</v>
      </c>
      <c r="C133" s="785" t="s">
        <v>667</v>
      </c>
      <c r="D133" s="784">
        <v>90000</v>
      </c>
      <c r="E133" s="784">
        <v>90000</v>
      </c>
      <c r="F133" s="784">
        <v>64725.53</v>
      </c>
      <c r="G133" s="784">
        <f t="shared" si="30"/>
        <v>25274.47</v>
      </c>
      <c r="H133" s="784">
        <f t="shared" si="19"/>
        <v>90000</v>
      </c>
      <c r="I133" s="784">
        <f t="shared" si="31"/>
        <v>90000</v>
      </c>
      <c r="J133" s="803"/>
      <c r="K133" s="784">
        <v>79582</v>
      </c>
      <c r="L133" s="784">
        <v>120000</v>
      </c>
      <c r="M133" s="825">
        <v>80000</v>
      </c>
      <c r="N133" s="825">
        <v>130000</v>
      </c>
      <c r="O133" s="825">
        <v>130000</v>
      </c>
      <c r="P133" s="825">
        <v>150000</v>
      </c>
      <c r="Q133" s="1036"/>
      <c r="R133" s="1030">
        <f t="shared" si="27"/>
        <v>150000</v>
      </c>
      <c r="S133" s="1059"/>
      <c r="T133" s="1030">
        <f t="shared" si="28"/>
        <v>150000</v>
      </c>
      <c r="U133" s="1059"/>
      <c r="V133" s="1030">
        <f t="shared" si="29"/>
        <v>150000</v>
      </c>
    </row>
    <row r="134" spans="1:22" hidden="1">
      <c r="A134" s="773">
        <v>3745</v>
      </c>
      <c r="B134" s="772">
        <v>5137</v>
      </c>
      <c r="C134" s="785" t="s">
        <v>668</v>
      </c>
      <c r="D134" s="784"/>
      <c r="E134" s="784"/>
      <c r="F134" s="784">
        <v>35398</v>
      </c>
      <c r="G134" s="784">
        <v>0</v>
      </c>
      <c r="H134" s="784">
        <f t="shared" si="19"/>
        <v>35398</v>
      </c>
      <c r="I134" s="784">
        <f t="shared" si="31"/>
        <v>35398</v>
      </c>
      <c r="J134" s="803"/>
      <c r="K134" s="784">
        <v>39188</v>
      </c>
      <c r="L134" s="784"/>
      <c r="M134" s="825"/>
      <c r="N134" s="825"/>
      <c r="O134" s="825">
        <v>101000</v>
      </c>
      <c r="P134" s="825">
        <v>150000</v>
      </c>
      <c r="Q134" s="1036"/>
      <c r="R134" s="1030">
        <f t="shared" si="27"/>
        <v>150000</v>
      </c>
      <c r="S134" s="1059"/>
      <c r="T134" s="1030">
        <f t="shared" si="28"/>
        <v>150000</v>
      </c>
      <c r="U134" s="1059"/>
      <c r="V134" s="1030">
        <f t="shared" si="29"/>
        <v>150000</v>
      </c>
    </row>
    <row r="135" spans="1:22" hidden="1">
      <c r="A135" s="773">
        <v>3745</v>
      </c>
      <c r="B135" s="772">
        <v>5139</v>
      </c>
      <c r="C135" s="785" t="s">
        <v>669</v>
      </c>
      <c r="D135" s="784">
        <v>50000</v>
      </c>
      <c r="E135" s="784">
        <v>50000</v>
      </c>
      <c r="F135" s="784">
        <v>82029.990000000005</v>
      </c>
      <c r="G135" s="784">
        <v>0</v>
      </c>
      <c r="H135" s="784">
        <f t="shared" si="19"/>
        <v>82029.990000000005</v>
      </c>
      <c r="I135" s="784">
        <f t="shared" si="31"/>
        <v>82029.990000000005</v>
      </c>
      <c r="J135" s="803"/>
      <c r="K135" s="784">
        <v>48372</v>
      </c>
      <c r="L135" s="784">
        <v>80000</v>
      </c>
      <c r="M135" s="825">
        <v>30000</v>
      </c>
      <c r="N135" s="825">
        <v>50000</v>
      </c>
      <c r="O135" s="825">
        <v>70000</v>
      </c>
      <c r="P135" s="825">
        <v>80000</v>
      </c>
      <c r="Q135" s="1036"/>
      <c r="R135" s="1030">
        <f t="shared" si="27"/>
        <v>80000</v>
      </c>
      <c r="S135" s="1059"/>
      <c r="T135" s="1030">
        <f t="shared" si="28"/>
        <v>80000</v>
      </c>
      <c r="U135" s="1059"/>
      <c r="V135" s="1030">
        <f t="shared" si="29"/>
        <v>80000</v>
      </c>
    </row>
    <row r="136" spans="1:22" hidden="1">
      <c r="A136" s="773">
        <v>3745</v>
      </c>
      <c r="B136" s="772">
        <v>5156</v>
      </c>
      <c r="C136" s="785" t="s">
        <v>670</v>
      </c>
      <c r="D136" s="784">
        <v>50000</v>
      </c>
      <c r="E136" s="784">
        <v>50000</v>
      </c>
      <c r="F136" s="784">
        <v>36848</v>
      </c>
      <c r="G136" s="784">
        <f t="shared" si="30"/>
        <v>13152</v>
      </c>
      <c r="H136" s="784">
        <f t="shared" si="19"/>
        <v>50000</v>
      </c>
      <c r="I136" s="784">
        <f t="shared" si="31"/>
        <v>50000</v>
      </c>
      <c r="J136" s="803"/>
      <c r="K136" s="784">
        <v>45873</v>
      </c>
      <c r="L136" s="784">
        <v>50000</v>
      </c>
      <c r="M136" s="825">
        <v>90000</v>
      </c>
      <c r="N136" s="825">
        <v>90000</v>
      </c>
      <c r="O136" s="825">
        <v>90000</v>
      </c>
      <c r="P136" s="825">
        <v>90000</v>
      </c>
      <c r="Q136" s="1036"/>
      <c r="R136" s="1030">
        <f t="shared" si="27"/>
        <v>90000</v>
      </c>
      <c r="S136" s="1059"/>
      <c r="T136" s="1030">
        <f t="shared" si="28"/>
        <v>90000</v>
      </c>
      <c r="U136" s="1059"/>
      <c r="V136" s="1030">
        <f t="shared" si="29"/>
        <v>90000</v>
      </c>
    </row>
    <row r="137" spans="1:22" hidden="1">
      <c r="A137" s="773">
        <v>3745</v>
      </c>
      <c r="B137" s="772">
        <v>5169</v>
      </c>
      <c r="C137" s="785" t="s">
        <v>648</v>
      </c>
      <c r="D137" s="784"/>
      <c r="E137" s="784">
        <v>130000</v>
      </c>
      <c r="F137" s="784">
        <v>900</v>
      </c>
      <c r="G137" s="784">
        <f t="shared" si="30"/>
        <v>129100</v>
      </c>
      <c r="H137" s="784">
        <f t="shared" si="19"/>
        <v>130000</v>
      </c>
      <c r="I137" s="784">
        <f t="shared" si="31"/>
        <v>130000</v>
      </c>
      <c r="J137" s="803"/>
      <c r="K137" s="784">
        <v>189196</v>
      </c>
      <c r="L137" s="784"/>
      <c r="M137" s="825"/>
      <c r="N137" s="825">
        <v>900000</v>
      </c>
      <c r="O137" s="825">
        <v>400000</v>
      </c>
      <c r="P137" s="825">
        <v>500000</v>
      </c>
      <c r="Q137" s="1036"/>
      <c r="R137" s="1030">
        <f t="shared" si="27"/>
        <v>500000</v>
      </c>
      <c r="S137" s="1059"/>
      <c r="T137" s="1030">
        <f t="shared" si="28"/>
        <v>500000</v>
      </c>
      <c r="U137" s="1059"/>
      <c r="V137" s="1030">
        <f t="shared" si="29"/>
        <v>500000</v>
      </c>
    </row>
    <row r="138" spans="1:22" hidden="1">
      <c r="A138" s="773">
        <v>3745</v>
      </c>
      <c r="B138" s="799">
        <v>5171</v>
      </c>
      <c r="C138" s="785" t="s">
        <v>671</v>
      </c>
      <c r="D138" s="784"/>
      <c r="E138" s="784"/>
      <c r="F138" s="784"/>
      <c r="G138" s="784" t="e">
        <f>#REF!</f>
        <v>#REF!</v>
      </c>
      <c r="H138" s="784" t="e">
        <f>G138+F138</f>
        <v>#REF!</v>
      </c>
      <c r="I138" s="784" t="e">
        <f>#REF!</f>
        <v>#REF!</v>
      </c>
      <c r="J138" s="803"/>
      <c r="K138" s="784"/>
      <c r="L138" s="784" t="e">
        <f>#REF!</f>
        <v>#REF!</v>
      </c>
      <c r="M138" s="825"/>
      <c r="N138" s="825">
        <v>765000</v>
      </c>
      <c r="O138" s="825">
        <v>500000</v>
      </c>
      <c r="P138" s="825">
        <v>700000</v>
      </c>
      <c r="Q138" s="1036"/>
      <c r="R138" s="1030">
        <f t="shared" si="27"/>
        <v>700000</v>
      </c>
      <c r="S138" s="1059"/>
      <c r="T138" s="1030">
        <f t="shared" si="28"/>
        <v>700000</v>
      </c>
      <c r="U138" s="1059"/>
      <c r="V138" s="1030">
        <f t="shared" si="29"/>
        <v>700000</v>
      </c>
    </row>
    <row r="139" spans="1:22" hidden="1">
      <c r="A139" s="836">
        <v>3745</v>
      </c>
      <c r="B139" s="837">
        <v>6121</v>
      </c>
      <c r="C139" s="838" t="s">
        <v>672</v>
      </c>
      <c r="D139" s="839">
        <v>50000</v>
      </c>
      <c r="E139" s="839">
        <v>50000</v>
      </c>
      <c r="F139" s="839"/>
      <c r="G139" s="839" t="e">
        <f>#REF!</f>
        <v>#REF!</v>
      </c>
      <c r="H139" s="839" t="e">
        <f t="shared" ref="H139:H192" si="32">G139+F139</f>
        <v>#REF!</v>
      </c>
      <c r="I139" s="839" t="e">
        <f>#REF!</f>
        <v>#REF!</v>
      </c>
      <c r="J139" s="1026">
        <v>-2000000</v>
      </c>
      <c r="K139" s="839"/>
      <c r="L139" s="839">
        <v>1111000</v>
      </c>
      <c r="M139" s="845"/>
      <c r="N139" s="845"/>
      <c r="O139" s="845"/>
      <c r="P139" s="842">
        <v>1080000</v>
      </c>
      <c r="Q139" s="1036"/>
      <c r="R139" s="1030">
        <f t="shared" si="27"/>
        <v>1080000</v>
      </c>
      <c r="S139" s="1059"/>
      <c r="T139" s="1030">
        <f t="shared" si="28"/>
        <v>1080000</v>
      </c>
      <c r="U139" s="1059"/>
      <c r="V139" s="1030">
        <f t="shared" si="29"/>
        <v>1080000</v>
      </c>
    </row>
    <row r="140" spans="1:22" hidden="1">
      <c r="A140" s="836">
        <v>3745</v>
      </c>
      <c r="B140" s="837">
        <v>6122</v>
      </c>
      <c r="C140" s="838" t="s">
        <v>674</v>
      </c>
      <c r="D140" s="839">
        <v>600000</v>
      </c>
      <c r="E140" s="839">
        <v>300000</v>
      </c>
      <c r="F140" s="839"/>
      <c r="G140" s="839" t="e">
        <f>#REF!</f>
        <v>#REF!</v>
      </c>
      <c r="H140" s="839" t="e">
        <f t="shared" si="32"/>
        <v>#REF!</v>
      </c>
      <c r="I140" s="839" t="e">
        <f>#REF!</f>
        <v>#REF!</v>
      </c>
      <c r="J140" s="1022"/>
      <c r="K140" s="839"/>
      <c r="L140" s="839"/>
      <c r="M140" s="845"/>
      <c r="N140" s="845"/>
      <c r="O140" s="845"/>
      <c r="P140" s="1027">
        <v>250000</v>
      </c>
      <c r="Q140" s="1036"/>
      <c r="R140" s="1030">
        <f t="shared" si="27"/>
        <v>250000</v>
      </c>
      <c r="S140" s="1059"/>
      <c r="T140" s="1030">
        <f t="shared" si="28"/>
        <v>250000</v>
      </c>
      <c r="U140" s="1059"/>
      <c r="V140" s="1030">
        <f t="shared" si="29"/>
        <v>250000</v>
      </c>
    </row>
    <row r="141" spans="1:22" hidden="1">
      <c r="A141" s="773">
        <v>4349</v>
      </c>
      <c r="B141" s="772">
        <v>5169</v>
      </c>
      <c r="C141" s="785" t="s">
        <v>1214</v>
      </c>
      <c r="D141" s="784"/>
      <c r="E141" s="784"/>
      <c r="F141" s="784"/>
      <c r="G141" s="784"/>
      <c r="H141" s="784"/>
      <c r="I141" s="784"/>
      <c r="J141" s="803"/>
      <c r="K141" s="784"/>
      <c r="L141" s="784"/>
      <c r="M141" s="825"/>
      <c r="N141" s="825"/>
      <c r="O141" s="825">
        <v>100000</v>
      </c>
      <c r="P141" s="825">
        <v>100000</v>
      </c>
      <c r="Q141" s="1036"/>
      <c r="R141" s="1030">
        <f t="shared" si="27"/>
        <v>100000</v>
      </c>
      <c r="S141" s="1059"/>
      <c r="T141" s="1030">
        <f t="shared" si="28"/>
        <v>100000</v>
      </c>
      <c r="U141" s="1059"/>
      <c r="V141" s="1030">
        <f t="shared" si="29"/>
        <v>100000</v>
      </c>
    </row>
    <row r="142" spans="1:22">
      <c r="A142" s="773">
        <v>5299</v>
      </c>
      <c r="B142" s="772">
        <v>5139</v>
      </c>
      <c r="C142" s="785" t="s">
        <v>643</v>
      </c>
      <c r="D142" s="784"/>
      <c r="E142" s="784">
        <v>20000</v>
      </c>
      <c r="F142" s="784">
        <v>6670</v>
      </c>
      <c r="G142" s="784">
        <f t="shared" si="30"/>
        <v>13330</v>
      </c>
      <c r="H142" s="784">
        <f t="shared" si="32"/>
        <v>20000</v>
      </c>
      <c r="I142" s="784">
        <f t="shared" ref="I142:I148" si="33">H142</f>
        <v>20000</v>
      </c>
      <c r="J142" s="803"/>
      <c r="K142" s="784">
        <v>8409</v>
      </c>
      <c r="L142" s="784">
        <v>10000</v>
      </c>
      <c r="M142" s="825">
        <v>10000</v>
      </c>
      <c r="N142" s="825">
        <v>10000</v>
      </c>
      <c r="O142" s="825"/>
      <c r="P142" s="825">
        <v>10000</v>
      </c>
      <c r="Q142" s="1036"/>
      <c r="R142" s="1030">
        <f t="shared" si="27"/>
        <v>10000</v>
      </c>
      <c r="S142" s="1059"/>
      <c r="T142" s="1030">
        <f t="shared" si="28"/>
        <v>10000</v>
      </c>
      <c r="U142" s="1059">
        <v>10000</v>
      </c>
      <c r="V142" s="1030">
        <f t="shared" si="29"/>
        <v>20000</v>
      </c>
    </row>
    <row r="143" spans="1:22" hidden="1">
      <c r="A143" s="773">
        <v>5512</v>
      </c>
      <c r="B143" s="772">
        <v>5137</v>
      </c>
      <c r="C143" s="785" t="s">
        <v>676</v>
      </c>
      <c r="D143" s="784">
        <v>30000</v>
      </c>
      <c r="E143" s="784">
        <v>30000</v>
      </c>
      <c r="F143" s="784"/>
      <c r="G143" s="784">
        <f t="shared" si="30"/>
        <v>30000</v>
      </c>
      <c r="H143" s="784">
        <f t="shared" si="32"/>
        <v>30000</v>
      </c>
      <c r="I143" s="784">
        <f t="shared" si="33"/>
        <v>30000</v>
      </c>
      <c r="J143" s="803"/>
      <c r="K143" s="784"/>
      <c r="L143" s="784">
        <v>15000</v>
      </c>
      <c r="M143" s="825"/>
      <c r="N143" s="825">
        <v>20000</v>
      </c>
      <c r="O143" s="825">
        <v>652800</v>
      </c>
      <c r="P143" s="825">
        <v>300000</v>
      </c>
      <c r="Q143" s="1036"/>
      <c r="R143" s="1030">
        <f t="shared" si="27"/>
        <v>300000</v>
      </c>
      <c r="S143" s="1059"/>
      <c r="T143" s="1030">
        <f t="shared" si="28"/>
        <v>300000</v>
      </c>
      <c r="U143" s="1059"/>
      <c r="V143" s="1030">
        <f t="shared" si="29"/>
        <v>300000</v>
      </c>
    </row>
    <row r="144" spans="1:22" hidden="1">
      <c r="A144" s="773">
        <v>5512</v>
      </c>
      <c r="B144" s="772">
        <v>5139</v>
      </c>
      <c r="C144" s="785" t="s">
        <v>677</v>
      </c>
      <c r="D144" s="784">
        <v>5000</v>
      </c>
      <c r="E144" s="784">
        <v>5000</v>
      </c>
      <c r="F144" s="784">
        <v>3948</v>
      </c>
      <c r="G144" s="784">
        <f t="shared" si="30"/>
        <v>1052</v>
      </c>
      <c r="H144" s="784">
        <f t="shared" si="32"/>
        <v>5000</v>
      </c>
      <c r="I144" s="784">
        <f t="shared" si="33"/>
        <v>5000</v>
      </c>
      <c r="J144" s="803"/>
      <c r="K144" s="784"/>
      <c r="L144" s="784">
        <v>5000</v>
      </c>
      <c r="M144" s="825">
        <v>20000</v>
      </c>
      <c r="N144" s="825">
        <v>20000</v>
      </c>
      <c r="O144" s="825">
        <v>5000</v>
      </c>
      <c r="P144" s="825">
        <v>20000</v>
      </c>
      <c r="Q144" s="1036"/>
      <c r="R144" s="1030">
        <f t="shared" si="27"/>
        <v>20000</v>
      </c>
      <c r="S144" s="1059"/>
      <c r="T144" s="1030">
        <f t="shared" si="28"/>
        <v>20000</v>
      </c>
      <c r="U144" s="1059"/>
      <c r="V144" s="1030">
        <f t="shared" si="29"/>
        <v>20000</v>
      </c>
    </row>
    <row r="145" spans="1:22" hidden="1">
      <c r="A145" s="773">
        <v>5512</v>
      </c>
      <c r="B145" s="772">
        <v>5156</v>
      </c>
      <c r="C145" s="785" t="s">
        <v>678</v>
      </c>
      <c r="D145" s="784">
        <v>2000</v>
      </c>
      <c r="E145" s="784">
        <v>2000</v>
      </c>
      <c r="F145" s="784">
        <v>1150</v>
      </c>
      <c r="G145" s="784">
        <f t="shared" si="30"/>
        <v>850</v>
      </c>
      <c r="H145" s="784">
        <f t="shared" si="32"/>
        <v>2000</v>
      </c>
      <c r="I145" s="784">
        <f t="shared" si="33"/>
        <v>2000</v>
      </c>
      <c r="J145" s="803"/>
      <c r="K145" s="784">
        <v>2062</v>
      </c>
      <c r="L145" s="784">
        <v>2000</v>
      </c>
      <c r="M145" s="825">
        <v>6000</v>
      </c>
      <c r="N145" s="825">
        <v>5000</v>
      </c>
      <c r="O145" s="825">
        <v>5000</v>
      </c>
      <c r="P145" s="825">
        <v>6000</v>
      </c>
      <c r="Q145" s="1036"/>
      <c r="R145" s="1030">
        <f t="shared" si="27"/>
        <v>6000</v>
      </c>
      <c r="S145" s="1059"/>
      <c r="T145" s="1030">
        <f t="shared" si="28"/>
        <v>6000</v>
      </c>
      <c r="U145" s="1059"/>
      <c r="V145" s="1030">
        <f t="shared" si="29"/>
        <v>6000</v>
      </c>
    </row>
    <row r="146" spans="1:22" hidden="1">
      <c r="A146" s="773">
        <v>5512</v>
      </c>
      <c r="B146" s="772">
        <v>5163</v>
      </c>
      <c r="C146" s="785" t="s">
        <v>679</v>
      </c>
      <c r="D146" s="784">
        <v>2400</v>
      </c>
      <c r="E146" s="784">
        <v>2400</v>
      </c>
      <c r="F146" s="784">
        <v>2329</v>
      </c>
      <c r="G146" s="784">
        <f t="shared" si="30"/>
        <v>71</v>
      </c>
      <c r="H146" s="784">
        <f t="shared" si="32"/>
        <v>2400</v>
      </c>
      <c r="I146" s="784">
        <f t="shared" si="33"/>
        <v>2400</v>
      </c>
      <c r="J146" s="803"/>
      <c r="K146" s="784">
        <v>2329</v>
      </c>
      <c r="L146" s="784">
        <v>2400</v>
      </c>
      <c r="M146" s="825">
        <v>2400</v>
      </c>
      <c r="N146" s="825">
        <v>2400</v>
      </c>
      <c r="O146" s="825">
        <v>2400</v>
      </c>
      <c r="P146" s="825">
        <v>3000</v>
      </c>
      <c r="Q146" s="1036"/>
      <c r="R146" s="1030">
        <f t="shared" si="27"/>
        <v>3000</v>
      </c>
      <c r="S146" s="1059"/>
      <c r="T146" s="1030">
        <f t="shared" si="28"/>
        <v>3000</v>
      </c>
      <c r="U146" s="1059"/>
      <c r="V146" s="1030">
        <f t="shared" si="29"/>
        <v>3000</v>
      </c>
    </row>
    <row r="147" spans="1:22" hidden="1">
      <c r="A147" s="773">
        <v>5512</v>
      </c>
      <c r="B147" s="772">
        <v>5167</v>
      </c>
      <c r="C147" s="785" t="s">
        <v>680</v>
      </c>
      <c r="D147" s="784">
        <v>5000</v>
      </c>
      <c r="E147" s="784">
        <v>5000</v>
      </c>
      <c r="F147" s="784"/>
      <c r="G147" s="784">
        <f t="shared" si="30"/>
        <v>5000</v>
      </c>
      <c r="H147" s="784">
        <f t="shared" si="32"/>
        <v>5000</v>
      </c>
      <c r="I147" s="784">
        <f t="shared" si="33"/>
        <v>5000</v>
      </c>
      <c r="J147" s="803"/>
      <c r="K147" s="784"/>
      <c r="L147" s="784">
        <v>5000</v>
      </c>
      <c r="M147" s="825"/>
      <c r="N147" s="825">
        <v>5000</v>
      </c>
      <c r="O147" s="825"/>
      <c r="P147" s="825">
        <v>30000</v>
      </c>
      <c r="Q147" s="1036"/>
      <c r="R147" s="1030">
        <f t="shared" si="27"/>
        <v>30000</v>
      </c>
      <c r="S147" s="1059"/>
      <c r="T147" s="1030">
        <f t="shared" si="28"/>
        <v>30000</v>
      </c>
      <c r="U147" s="1059"/>
      <c r="V147" s="1030">
        <f t="shared" si="29"/>
        <v>30000</v>
      </c>
    </row>
    <row r="148" spans="1:22" hidden="1">
      <c r="A148" s="773">
        <v>5512</v>
      </c>
      <c r="B148" s="772">
        <v>5171</v>
      </c>
      <c r="C148" s="785" t="s">
        <v>681</v>
      </c>
      <c r="D148" s="784">
        <v>5000</v>
      </c>
      <c r="E148" s="784">
        <v>5000</v>
      </c>
      <c r="F148" s="784"/>
      <c r="G148" s="784">
        <f t="shared" si="30"/>
        <v>5000</v>
      </c>
      <c r="H148" s="784">
        <f t="shared" si="32"/>
        <v>5000</v>
      </c>
      <c r="I148" s="784">
        <f t="shared" si="33"/>
        <v>5000</v>
      </c>
      <c r="J148" s="803"/>
      <c r="K148" s="784">
        <v>3422</v>
      </c>
      <c r="L148" s="784">
        <v>5000</v>
      </c>
      <c r="M148" s="825">
        <v>25000</v>
      </c>
      <c r="N148" s="825">
        <v>20000</v>
      </c>
      <c r="O148" s="825"/>
      <c r="P148" s="825">
        <v>50000</v>
      </c>
      <c r="Q148" s="1036"/>
      <c r="R148" s="1030">
        <f t="shared" si="27"/>
        <v>50000</v>
      </c>
      <c r="S148" s="1059"/>
      <c r="T148" s="1030">
        <f t="shared" si="28"/>
        <v>50000</v>
      </c>
      <c r="U148" s="1059"/>
      <c r="V148" s="1030">
        <f t="shared" si="29"/>
        <v>50000</v>
      </c>
    </row>
    <row r="149" spans="1:22" hidden="1">
      <c r="A149" s="773">
        <v>5512</v>
      </c>
      <c r="B149" s="772">
        <v>5222</v>
      </c>
      <c r="C149" s="785" t="s">
        <v>682</v>
      </c>
      <c r="D149" s="784"/>
      <c r="E149" s="784"/>
      <c r="F149" s="784"/>
      <c r="G149" s="784"/>
      <c r="H149" s="784"/>
      <c r="I149" s="784"/>
      <c r="J149" s="803"/>
      <c r="K149" s="784"/>
      <c r="L149" s="784"/>
      <c r="M149" s="825"/>
      <c r="N149" s="825"/>
      <c r="O149" s="825">
        <v>20000</v>
      </c>
      <c r="P149" s="825">
        <v>40000</v>
      </c>
      <c r="Q149" s="1036"/>
      <c r="R149" s="1030">
        <f t="shared" si="27"/>
        <v>40000</v>
      </c>
      <c r="S149" s="1059"/>
      <c r="T149" s="1030">
        <f t="shared" si="28"/>
        <v>40000</v>
      </c>
      <c r="U149" s="1059"/>
      <c r="V149" s="1030">
        <f t="shared" si="29"/>
        <v>40000</v>
      </c>
    </row>
    <row r="150" spans="1:22" hidden="1">
      <c r="A150" s="836">
        <v>5512</v>
      </c>
      <c r="B150" s="837">
        <v>6121</v>
      </c>
      <c r="C150" s="838" t="s">
        <v>683</v>
      </c>
      <c r="D150" s="839"/>
      <c r="E150" s="839"/>
      <c r="F150" s="839"/>
      <c r="G150" s="839" t="e">
        <f>#REF!</f>
        <v>#REF!</v>
      </c>
      <c r="H150" s="839" t="e">
        <f t="shared" si="32"/>
        <v>#REF!</v>
      </c>
      <c r="I150" s="839" t="e">
        <f>#REF!</f>
        <v>#REF!</v>
      </c>
      <c r="J150" s="1022"/>
      <c r="K150" s="839"/>
      <c r="L150" s="839"/>
      <c r="M150" s="842"/>
      <c r="N150" s="842"/>
      <c r="O150" s="842"/>
      <c r="P150" s="842">
        <v>500000</v>
      </c>
      <c r="Q150" s="1036"/>
      <c r="R150" s="1030">
        <f t="shared" si="27"/>
        <v>500000</v>
      </c>
      <c r="S150" s="1059"/>
      <c r="T150" s="1030">
        <f t="shared" si="28"/>
        <v>500000</v>
      </c>
      <c r="U150" s="1059"/>
      <c r="V150" s="1030">
        <f t="shared" si="29"/>
        <v>500000</v>
      </c>
    </row>
    <row r="151" spans="1:22" hidden="1">
      <c r="A151" s="773">
        <v>6112</v>
      </c>
      <c r="B151" s="772">
        <v>5023</v>
      </c>
      <c r="C151" s="785" t="s">
        <v>685</v>
      </c>
      <c r="D151" s="784">
        <f>1400000+150000</f>
        <v>1550000</v>
      </c>
      <c r="E151" s="784">
        <v>1550000</v>
      </c>
      <c r="F151" s="784">
        <v>1149263</v>
      </c>
      <c r="G151" s="784">
        <f t="shared" si="30"/>
        <v>400737</v>
      </c>
      <c r="H151" s="784">
        <f t="shared" si="32"/>
        <v>1550000</v>
      </c>
      <c r="I151" s="784">
        <f t="shared" ref="I151:I181" si="34">H151</f>
        <v>1550000</v>
      </c>
      <c r="J151" s="803"/>
      <c r="K151" s="784">
        <v>1267163</v>
      </c>
      <c r="L151" s="784">
        <v>1550000</v>
      </c>
      <c r="M151" s="825">
        <v>1800000</v>
      </c>
      <c r="N151" s="825">
        <v>1760000</v>
      </c>
      <c r="O151" s="825">
        <v>1760000</v>
      </c>
      <c r="P151" s="825">
        <v>2100000</v>
      </c>
      <c r="Q151" s="1036"/>
      <c r="R151" s="1030">
        <f t="shared" si="27"/>
        <v>2100000</v>
      </c>
      <c r="S151" s="1059"/>
      <c r="T151" s="1030">
        <f t="shared" si="28"/>
        <v>2100000</v>
      </c>
      <c r="U151" s="1059"/>
      <c r="V151" s="1030">
        <f t="shared" si="29"/>
        <v>2100000</v>
      </c>
    </row>
    <row r="152" spans="1:22" hidden="1">
      <c r="A152" s="773">
        <v>6112</v>
      </c>
      <c r="B152" s="772">
        <v>5026</v>
      </c>
      <c r="C152" s="785" t="s">
        <v>687</v>
      </c>
      <c r="D152" s="784"/>
      <c r="E152" s="784"/>
      <c r="F152" s="784"/>
      <c r="G152" s="784"/>
      <c r="H152" s="784"/>
      <c r="I152" s="784"/>
      <c r="J152" s="803"/>
      <c r="K152" s="784"/>
      <c r="L152" s="784"/>
      <c r="M152" s="825"/>
      <c r="N152" s="825"/>
      <c r="O152" s="825">
        <v>340000</v>
      </c>
      <c r="P152" s="825"/>
      <c r="Q152" s="1036"/>
      <c r="R152" s="1030"/>
      <c r="S152" s="1059"/>
      <c r="T152" s="496"/>
      <c r="U152" s="1059"/>
      <c r="V152" s="1030"/>
    </row>
    <row r="153" spans="1:22" hidden="1">
      <c r="A153" s="773">
        <v>6112</v>
      </c>
      <c r="B153" s="772">
        <v>5031</v>
      </c>
      <c r="C153" s="785" t="s">
        <v>688</v>
      </c>
      <c r="D153" s="784">
        <v>270000</v>
      </c>
      <c r="E153" s="784">
        <v>270000</v>
      </c>
      <c r="F153" s="784">
        <v>222151</v>
      </c>
      <c r="G153" s="784">
        <f t="shared" si="30"/>
        <v>47849</v>
      </c>
      <c r="H153" s="784">
        <f t="shared" si="32"/>
        <v>270000</v>
      </c>
      <c r="I153" s="784">
        <f t="shared" si="34"/>
        <v>270000</v>
      </c>
      <c r="J153" s="803"/>
      <c r="K153" s="784">
        <v>252558</v>
      </c>
      <c r="L153" s="784">
        <v>270000</v>
      </c>
      <c r="M153" s="825">
        <v>300000</v>
      </c>
      <c r="N153" s="825">
        <v>330000</v>
      </c>
      <c r="O153" s="825">
        <v>250000</v>
      </c>
      <c r="P153" s="825"/>
      <c r="Q153" s="1036"/>
      <c r="R153" s="1030"/>
      <c r="S153" s="1059"/>
      <c r="T153" s="496"/>
      <c r="U153" s="1059"/>
      <c r="V153" s="1030"/>
    </row>
    <row r="154" spans="1:22" hidden="1">
      <c r="A154" s="773">
        <v>6112</v>
      </c>
      <c r="B154" s="772">
        <v>5032</v>
      </c>
      <c r="C154" s="785" t="s">
        <v>689</v>
      </c>
      <c r="D154" s="784">
        <v>125000</v>
      </c>
      <c r="E154" s="784">
        <v>125000</v>
      </c>
      <c r="F154" s="784">
        <v>100555</v>
      </c>
      <c r="G154" s="784">
        <f t="shared" si="30"/>
        <v>24445</v>
      </c>
      <c r="H154" s="784">
        <f t="shared" si="32"/>
        <v>125000</v>
      </c>
      <c r="I154" s="784">
        <f t="shared" si="34"/>
        <v>125000</v>
      </c>
      <c r="J154" s="803"/>
      <c r="K154" s="784">
        <v>115047</v>
      </c>
      <c r="L154" s="784">
        <v>125000</v>
      </c>
      <c r="M154" s="825">
        <v>150000</v>
      </c>
      <c r="N154" s="825">
        <v>165000</v>
      </c>
      <c r="O154" s="825">
        <v>165000</v>
      </c>
      <c r="P154" s="825">
        <v>190000</v>
      </c>
      <c r="Q154" s="1036"/>
      <c r="R154" s="1030">
        <f>SUM(P154:Q154)</f>
        <v>190000</v>
      </c>
      <c r="S154" s="1059"/>
      <c r="T154" s="1030">
        <f>SUM(R154:S154)</f>
        <v>190000</v>
      </c>
      <c r="U154" s="1059"/>
      <c r="V154" s="1030">
        <f t="shared" ref="V154:V187" si="35">SUM(T154:U154)</f>
        <v>190000</v>
      </c>
    </row>
    <row r="155" spans="1:22" hidden="1">
      <c r="A155" s="773">
        <v>6117</v>
      </c>
      <c r="B155" s="772">
        <v>5021</v>
      </c>
      <c r="C155" s="785" t="s">
        <v>691</v>
      </c>
      <c r="D155" s="784"/>
      <c r="E155" s="784"/>
      <c r="F155" s="784">
        <v>8851.15</v>
      </c>
      <c r="G155" s="784">
        <v>0</v>
      </c>
      <c r="H155" s="784">
        <f t="shared" si="32"/>
        <v>8851.15</v>
      </c>
      <c r="I155" s="784">
        <f t="shared" si="34"/>
        <v>8851.15</v>
      </c>
      <c r="J155" s="803">
        <v>-8851</v>
      </c>
      <c r="K155" s="784"/>
      <c r="L155" s="784"/>
      <c r="M155" s="825"/>
      <c r="N155" s="825"/>
      <c r="O155" s="825">
        <f>8929+35504</f>
        <v>44433</v>
      </c>
      <c r="P155" s="825"/>
      <c r="Q155" s="1036"/>
      <c r="R155" s="1030"/>
      <c r="S155" s="1059">
        <v>21540</v>
      </c>
      <c r="T155" s="1030">
        <f>SUM(R155:S155)</f>
        <v>21540</v>
      </c>
      <c r="U155" s="1059"/>
      <c r="V155" s="1030">
        <f t="shared" si="35"/>
        <v>21540</v>
      </c>
    </row>
    <row r="156" spans="1:22" hidden="1">
      <c r="A156" s="773">
        <v>6117</v>
      </c>
      <c r="B156" s="772">
        <v>5139</v>
      </c>
      <c r="C156" s="785" t="s">
        <v>1237</v>
      </c>
      <c r="D156" s="784"/>
      <c r="E156" s="784"/>
      <c r="F156" s="784"/>
      <c r="G156" s="784"/>
      <c r="H156" s="784"/>
      <c r="I156" s="784"/>
      <c r="J156" s="803"/>
      <c r="K156" s="784"/>
      <c r="L156" s="784"/>
      <c r="M156" s="825"/>
      <c r="N156" s="825"/>
      <c r="O156" s="825"/>
      <c r="P156" s="825"/>
      <c r="Q156" s="1036"/>
      <c r="R156" s="1030"/>
      <c r="S156" s="1059">
        <v>8500</v>
      </c>
      <c r="T156" s="1030">
        <f>SUM(R156:S156)</f>
        <v>8500</v>
      </c>
      <c r="U156" s="1059"/>
      <c r="V156" s="1030">
        <f t="shared" si="35"/>
        <v>8500</v>
      </c>
    </row>
    <row r="157" spans="1:22" hidden="1">
      <c r="A157" s="773">
        <v>6117</v>
      </c>
      <c r="B157" s="772">
        <v>5175</v>
      </c>
      <c r="C157" s="785" t="s">
        <v>692</v>
      </c>
      <c r="D157" s="784"/>
      <c r="E157" s="784"/>
      <c r="F157" s="784"/>
      <c r="G157" s="784"/>
      <c r="H157" s="784"/>
      <c r="I157" s="784"/>
      <c r="J157" s="803"/>
      <c r="K157" s="784"/>
      <c r="L157" s="784"/>
      <c r="M157" s="825"/>
      <c r="N157" s="825"/>
      <c r="O157" s="825">
        <f>1266+3096</f>
        <v>4362</v>
      </c>
      <c r="P157" s="825"/>
      <c r="Q157" s="1036"/>
      <c r="R157" s="1030"/>
      <c r="S157" s="1059">
        <v>1960</v>
      </c>
      <c r="T157" s="1030">
        <f>SUM(R157:S157)</f>
        <v>1960</v>
      </c>
      <c r="U157" s="1059"/>
      <c r="V157" s="1030">
        <f t="shared" si="35"/>
        <v>1960</v>
      </c>
    </row>
    <row r="158" spans="1:22">
      <c r="A158" s="773">
        <v>6115</v>
      </c>
      <c r="B158" s="772">
        <v>5021</v>
      </c>
      <c r="C158" s="785" t="s">
        <v>1243</v>
      </c>
      <c r="D158" s="784"/>
      <c r="E158" s="784"/>
      <c r="F158" s="784"/>
      <c r="G158" s="784"/>
      <c r="H158" s="784"/>
      <c r="I158" s="784"/>
      <c r="J158" s="803"/>
      <c r="K158" s="784"/>
      <c r="L158" s="784"/>
      <c r="M158" s="825"/>
      <c r="N158" s="825"/>
      <c r="O158" s="825"/>
      <c r="P158" s="825"/>
      <c r="Q158" s="1036"/>
      <c r="R158" s="1030"/>
      <c r="S158" s="1059"/>
      <c r="T158" s="1030"/>
      <c r="U158" s="1059">
        <v>38000</v>
      </c>
      <c r="V158" s="1030">
        <f t="shared" si="35"/>
        <v>38000</v>
      </c>
    </row>
    <row r="159" spans="1:22">
      <c r="A159" s="773">
        <v>6115</v>
      </c>
      <c r="B159" s="772">
        <v>5139</v>
      </c>
      <c r="C159" s="785" t="s">
        <v>1244</v>
      </c>
      <c r="D159" s="784"/>
      <c r="E159" s="784"/>
      <c r="F159" s="784"/>
      <c r="G159" s="784"/>
      <c r="H159" s="784"/>
      <c r="I159" s="784"/>
      <c r="J159" s="803"/>
      <c r="K159" s="784"/>
      <c r="L159" s="784"/>
      <c r="M159" s="825"/>
      <c r="N159" s="825"/>
      <c r="O159" s="825"/>
      <c r="P159" s="825"/>
      <c r="Q159" s="1036"/>
      <c r="R159" s="1030"/>
      <c r="S159" s="1059"/>
      <c r="T159" s="1030"/>
      <c r="U159" s="1059">
        <v>6000</v>
      </c>
      <c r="V159" s="1030">
        <f t="shared" si="35"/>
        <v>6000</v>
      </c>
    </row>
    <row r="160" spans="1:22">
      <c r="A160" s="773">
        <v>6115</v>
      </c>
      <c r="B160" s="772">
        <v>5175</v>
      </c>
      <c r="C160" s="785" t="s">
        <v>1245</v>
      </c>
      <c r="D160" s="784"/>
      <c r="E160" s="784"/>
      <c r="F160" s="784"/>
      <c r="G160" s="784"/>
      <c r="H160" s="784"/>
      <c r="I160" s="784"/>
      <c r="J160" s="803"/>
      <c r="K160" s="784"/>
      <c r="L160" s="784"/>
      <c r="M160" s="825"/>
      <c r="N160" s="825"/>
      <c r="O160" s="825"/>
      <c r="P160" s="825"/>
      <c r="Q160" s="1036"/>
      <c r="R160" s="1030"/>
      <c r="S160" s="1059"/>
      <c r="T160" s="1030"/>
      <c r="U160" s="1059">
        <v>4000</v>
      </c>
      <c r="V160" s="1030">
        <f t="shared" si="35"/>
        <v>4000</v>
      </c>
    </row>
    <row r="161" spans="1:22" hidden="1">
      <c r="A161" s="773">
        <v>6171</v>
      </c>
      <c r="B161" s="772">
        <v>5011</v>
      </c>
      <c r="C161" s="785" t="s">
        <v>693</v>
      </c>
      <c r="D161" s="784">
        <v>400000</v>
      </c>
      <c r="E161" s="784">
        <v>700000</v>
      </c>
      <c r="F161" s="784">
        <v>582730</v>
      </c>
      <c r="G161" s="784">
        <f t="shared" ref="G161:G192" si="36">E161-F161</f>
        <v>117270</v>
      </c>
      <c r="H161" s="784">
        <f t="shared" si="32"/>
        <v>700000</v>
      </c>
      <c r="I161" s="784">
        <f t="shared" si="34"/>
        <v>700000</v>
      </c>
      <c r="J161" s="803"/>
      <c r="K161" s="784">
        <v>679093</v>
      </c>
      <c r="L161" s="784">
        <v>750000</v>
      </c>
      <c r="M161" s="825">
        <v>900000</v>
      </c>
      <c r="N161" s="825">
        <v>1000000</v>
      </c>
      <c r="O161" s="825">
        <v>1100000</v>
      </c>
      <c r="P161" s="825">
        <v>2500000</v>
      </c>
      <c r="Q161" s="1036"/>
      <c r="R161" s="1030">
        <f t="shared" ref="R161:R187" si="37">SUM(P161:Q161)</f>
        <v>2500000</v>
      </c>
      <c r="S161" s="1059">
        <v>500000</v>
      </c>
      <c r="T161" s="1030">
        <f t="shared" ref="T161:T187" si="38">SUM(R161:S161)</f>
        <v>3000000</v>
      </c>
      <c r="U161" s="1059"/>
      <c r="V161" s="1030">
        <f t="shared" si="35"/>
        <v>3000000</v>
      </c>
    </row>
    <row r="162" spans="1:22" hidden="1">
      <c r="A162" s="773">
        <v>6171</v>
      </c>
      <c r="B162" s="772">
        <v>5021</v>
      </c>
      <c r="C162" s="785" t="s">
        <v>694</v>
      </c>
      <c r="D162" s="784">
        <v>60000</v>
      </c>
      <c r="E162" s="784">
        <v>60000</v>
      </c>
      <c r="F162" s="784">
        <v>36445</v>
      </c>
      <c r="G162" s="784">
        <f t="shared" si="36"/>
        <v>23555</v>
      </c>
      <c r="H162" s="784">
        <f t="shared" si="32"/>
        <v>60000</v>
      </c>
      <c r="I162" s="784">
        <f t="shared" si="34"/>
        <v>60000</v>
      </c>
      <c r="J162" s="803"/>
      <c r="K162" s="784">
        <v>70573</v>
      </c>
      <c r="L162" s="784">
        <v>90000</v>
      </c>
      <c r="M162" s="825">
        <v>120000</v>
      </c>
      <c r="N162" s="825">
        <v>120000</v>
      </c>
      <c r="O162" s="825">
        <v>200000</v>
      </c>
      <c r="P162" s="825">
        <v>220000</v>
      </c>
      <c r="Q162" s="1036"/>
      <c r="R162" s="1030">
        <f t="shared" si="37"/>
        <v>220000</v>
      </c>
      <c r="S162" s="1059"/>
      <c r="T162" s="1030">
        <f t="shared" si="38"/>
        <v>220000</v>
      </c>
      <c r="U162" s="1059"/>
      <c r="V162" s="1030">
        <f t="shared" si="35"/>
        <v>220000</v>
      </c>
    </row>
    <row r="163" spans="1:22" hidden="1">
      <c r="A163" s="773">
        <v>6171</v>
      </c>
      <c r="B163" s="772">
        <v>5031</v>
      </c>
      <c r="C163" s="785" t="s">
        <v>695</v>
      </c>
      <c r="D163" s="784">
        <v>120000</v>
      </c>
      <c r="E163" s="784">
        <v>120000</v>
      </c>
      <c r="F163" s="784">
        <v>144340</v>
      </c>
      <c r="G163" s="784">
        <f>0.25*G161</f>
        <v>29317.5</v>
      </c>
      <c r="H163" s="784">
        <f t="shared" si="32"/>
        <v>173657.5</v>
      </c>
      <c r="I163" s="784">
        <f t="shared" si="34"/>
        <v>173657.5</v>
      </c>
      <c r="J163" s="803"/>
      <c r="K163" s="784">
        <v>180934</v>
      </c>
      <c r="L163" s="784">
        <v>200000</v>
      </c>
      <c r="M163" s="825">
        <v>250000</v>
      </c>
      <c r="N163" s="825">
        <v>250000</v>
      </c>
      <c r="O163" s="825">
        <v>300000</v>
      </c>
      <c r="P163" s="825">
        <v>620000</v>
      </c>
      <c r="Q163" s="1036"/>
      <c r="R163" s="1030">
        <f t="shared" si="37"/>
        <v>620000</v>
      </c>
      <c r="S163" s="1059">
        <v>150000</v>
      </c>
      <c r="T163" s="1030">
        <f t="shared" si="38"/>
        <v>770000</v>
      </c>
      <c r="U163" s="1059"/>
      <c r="V163" s="1030">
        <f t="shared" si="35"/>
        <v>770000</v>
      </c>
    </row>
    <row r="164" spans="1:22" hidden="1">
      <c r="A164" s="773">
        <v>6171</v>
      </c>
      <c r="B164" s="772">
        <v>5032</v>
      </c>
      <c r="C164" s="785" t="s">
        <v>696</v>
      </c>
      <c r="D164" s="784">
        <v>40000</v>
      </c>
      <c r="E164" s="784">
        <v>40000</v>
      </c>
      <c r="F164" s="784">
        <v>52351</v>
      </c>
      <c r="G164" s="784">
        <f>0.1*G161</f>
        <v>11727</v>
      </c>
      <c r="H164" s="784">
        <f t="shared" si="32"/>
        <v>64078</v>
      </c>
      <c r="I164" s="784">
        <f t="shared" si="34"/>
        <v>64078</v>
      </c>
      <c r="J164" s="803"/>
      <c r="K164" s="784">
        <v>65662</v>
      </c>
      <c r="L164" s="784">
        <v>80000</v>
      </c>
      <c r="M164" s="825">
        <v>90000</v>
      </c>
      <c r="N164" s="825">
        <v>125000</v>
      </c>
      <c r="O164" s="825">
        <v>125000</v>
      </c>
      <c r="P164" s="825">
        <v>225000</v>
      </c>
      <c r="Q164" s="1036"/>
      <c r="R164" s="1030">
        <f t="shared" si="37"/>
        <v>225000</v>
      </c>
      <c r="S164" s="1059">
        <v>50000</v>
      </c>
      <c r="T164" s="1030">
        <f t="shared" si="38"/>
        <v>275000</v>
      </c>
      <c r="U164" s="1059"/>
      <c r="V164" s="1030">
        <f t="shared" si="35"/>
        <v>275000</v>
      </c>
    </row>
    <row r="165" spans="1:22" hidden="1">
      <c r="A165" s="773">
        <v>6171</v>
      </c>
      <c r="B165" s="772">
        <v>5038</v>
      </c>
      <c r="C165" s="785" t="s">
        <v>697</v>
      </c>
      <c r="D165" s="784">
        <v>1000</v>
      </c>
      <c r="E165" s="784">
        <v>1000</v>
      </c>
      <c r="F165" s="784">
        <v>279</v>
      </c>
      <c r="G165" s="784">
        <f t="shared" si="36"/>
        <v>721</v>
      </c>
      <c r="H165" s="784">
        <f t="shared" si="32"/>
        <v>1000</v>
      </c>
      <c r="I165" s="784">
        <f t="shared" si="34"/>
        <v>1000</v>
      </c>
      <c r="J165" s="803"/>
      <c r="K165" s="784">
        <v>473</v>
      </c>
      <c r="L165" s="784">
        <v>1000</v>
      </c>
      <c r="M165" s="825">
        <v>1000</v>
      </c>
      <c r="N165" s="825">
        <v>1000</v>
      </c>
      <c r="O165" s="825">
        <v>1000</v>
      </c>
      <c r="P165" s="825">
        <v>5000</v>
      </c>
      <c r="Q165" s="1036"/>
      <c r="R165" s="1030">
        <f t="shared" si="37"/>
        <v>5000</v>
      </c>
      <c r="S165" s="1059"/>
      <c r="T165" s="1030">
        <f t="shared" si="38"/>
        <v>5000</v>
      </c>
      <c r="U165" s="1059"/>
      <c r="V165" s="1030">
        <f t="shared" si="35"/>
        <v>5000</v>
      </c>
    </row>
    <row r="166" spans="1:22" hidden="1">
      <c r="A166" s="773">
        <v>6171</v>
      </c>
      <c r="B166" s="772">
        <v>5137</v>
      </c>
      <c r="C166" s="785" t="s">
        <v>698</v>
      </c>
      <c r="D166" s="784">
        <v>20000</v>
      </c>
      <c r="E166" s="784">
        <v>45000</v>
      </c>
      <c r="F166" s="784">
        <v>41317.78</v>
      </c>
      <c r="G166" s="784">
        <f t="shared" si="36"/>
        <v>3682.2200000000012</v>
      </c>
      <c r="H166" s="784">
        <f t="shared" si="32"/>
        <v>45000</v>
      </c>
      <c r="I166" s="784">
        <f t="shared" si="34"/>
        <v>45000</v>
      </c>
      <c r="J166" s="803"/>
      <c r="K166" s="784"/>
      <c r="L166" s="784"/>
      <c r="M166" s="825"/>
      <c r="N166" s="825">
        <v>100000</v>
      </c>
      <c r="O166" s="825">
        <v>100000</v>
      </c>
      <c r="P166" s="825">
        <v>100000</v>
      </c>
      <c r="Q166" s="1036"/>
      <c r="R166" s="1030">
        <f t="shared" si="37"/>
        <v>100000</v>
      </c>
      <c r="S166" s="1059"/>
      <c r="T166" s="1030">
        <f t="shared" si="38"/>
        <v>100000</v>
      </c>
      <c r="U166" s="1059"/>
      <c r="V166" s="1030">
        <f t="shared" si="35"/>
        <v>100000</v>
      </c>
    </row>
    <row r="167" spans="1:22" hidden="1">
      <c r="A167" s="773">
        <v>6171</v>
      </c>
      <c r="B167" s="772">
        <v>5139</v>
      </c>
      <c r="C167" s="785" t="s">
        <v>699</v>
      </c>
      <c r="D167" s="784">
        <v>45000</v>
      </c>
      <c r="E167" s="784">
        <v>85000</v>
      </c>
      <c r="F167" s="784">
        <v>98068.03</v>
      </c>
      <c r="G167" s="784">
        <f>100000-F167</f>
        <v>1931.9700000000012</v>
      </c>
      <c r="H167" s="784">
        <f t="shared" si="32"/>
        <v>100000</v>
      </c>
      <c r="I167" s="784">
        <f t="shared" si="34"/>
        <v>100000</v>
      </c>
      <c r="J167" s="803"/>
      <c r="K167" s="784">
        <v>101131</v>
      </c>
      <c r="L167" s="784">
        <v>110000</v>
      </c>
      <c r="M167" s="825">
        <v>50000</v>
      </c>
      <c r="N167" s="825">
        <v>100000</v>
      </c>
      <c r="O167" s="825">
        <v>130000</v>
      </c>
      <c r="P167" s="825">
        <v>150000</v>
      </c>
      <c r="Q167" s="1036"/>
      <c r="R167" s="1030">
        <f t="shared" si="37"/>
        <v>150000</v>
      </c>
      <c r="S167" s="1059"/>
      <c r="T167" s="1030">
        <f t="shared" si="38"/>
        <v>150000</v>
      </c>
      <c r="U167" s="1059"/>
      <c r="V167" s="1030">
        <f t="shared" si="35"/>
        <v>150000</v>
      </c>
    </row>
    <row r="168" spans="1:22" hidden="1">
      <c r="A168" s="773">
        <v>6171</v>
      </c>
      <c r="B168" s="772">
        <v>5151</v>
      </c>
      <c r="C168" s="785" t="s">
        <v>700</v>
      </c>
      <c r="D168" s="784">
        <v>1000</v>
      </c>
      <c r="E168" s="784">
        <v>1600</v>
      </c>
      <c r="F168" s="784">
        <v>1327</v>
      </c>
      <c r="G168" s="784">
        <f t="shared" si="36"/>
        <v>273</v>
      </c>
      <c r="H168" s="784">
        <f t="shared" si="32"/>
        <v>1600</v>
      </c>
      <c r="I168" s="784">
        <f t="shared" si="34"/>
        <v>1600</v>
      </c>
      <c r="J168" s="803"/>
      <c r="K168" s="784"/>
      <c r="L168" s="784">
        <v>1600</v>
      </c>
      <c r="M168" s="825">
        <v>4000</v>
      </c>
      <c r="N168" s="825">
        <v>5000</v>
      </c>
      <c r="O168" s="825">
        <v>15000</v>
      </c>
      <c r="P168" s="825">
        <v>15000</v>
      </c>
      <c r="Q168" s="1036"/>
      <c r="R168" s="1030">
        <f t="shared" si="37"/>
        <v>15000</v>
      </c>
      <c r="S168" s="1059"/>
      <c r="T168" s="1030">
        <f t="shared" si="38"/>
        <v>15000</v>
      </c>
      <c r="U168" s="1059"/>
      <c r="V168" s="1030">
        <f t="shared" si="35"/>
        <v>15000</v>
      </c>
    </row>
    <row r="169" spans="1:22" hidden="1">
      <c r="A169" s="773">
        <v>6171</v>
      </c>
      <c r="B169" s="772">
        <v>5153</v>
      </c>
      <c r="C169" s="785" t="s">
        <v>701</v>
      </c>
      <c r="D169" s="784">
        <v>40000</v>
      </c>
      <c r="E169" s="784">
        <v>40000</v>
      </c>
      <c r="F169" s="784">
        <v>31500</v>
      </c>
      <c r="G169" s="784">
        <f t="shared" si="36"/>
        <v>8500</v>
      </c>
      <c r="H169" s="784">
        <f t="shared" si="32"/>
        <v>40000</v>
      </c>
      <c r="I169" s="784">
        <f t="shared" si="34"/>
        <v>40000</v>
      </c>
      <c r="J169" s="803"/>
      <c r="K169" s="784">
        <v>30600</v>
      </c>
      <c r="L169" s="784">
        <v>40000</v>
      </c>
      <c r="M169" s="825">
        <v>40000</v>
      </c>
      <c r="N169" s="825">
        <v>40000</v>
      </c>
      <c r="O169" s="825">
        <v>50000</v>
      </c>
      <c r="P169" s="825">
        <v>50000</v>
      </c>
      <c r="Q169" s="1036"/>
      <c r="R169" s="1030">
        <f t="shared" si="37"/>
        <v>50000</v>
      </c>
      <c r="S169" s="1059"/>
      <c r="T169" s="1030">
        <f t="shared" si="38"/>
        <v>50000</v>
      </c>
      <c r="U169" s="1059"/>
      <c r="V169" s="1030">
        <f t="shared" si="35"/>
        <v>50000</v>
      </c>
    </row>
    <row r="170" spans="1:22" hidden="1">
      <c r="A170" s="773">
        <v>6171</v>
      </c>
      <c r="B170" s="772">
        <v>5154</v>
      </c>
      <c r="C170" s="785" t="s">
        <v>702</v>
      </c>
      <c r="D170" s="784">
        <v>15000</v>
      </c>
      <c r="E170" s="784">
        <v>15000</v>
      </c>
      <c r="F170" s="784">
        <v>10640</v>
      </c>
      <c r="G170" s="784">
        <f t="shared" si="36"/>
        <v>4360</v>
      </c>
      <c r="H170" s="784">
        <f t="shared" si="32"/>
        <v>15000</v>
      </c>
      <c r="I170" s="784">
        <f t="shared" si="34"/>
        <v>15000</v>
      </c>
      <c r="J170" s="803"/>
      <c r="K170" s="784"/>
      <c r="L170" s="784">
        <v>15000</v>
      </c>
      <c r="M170" s="825">
        <v>60000</v>
      </c>
      <c r="N170" s="825">
        <v>80000</v>
      </c>
      <c r="O170" s="825">
        <v>60000</v>
      </c>
      <c r="P170" s="825">
        <v>60000</v>
      </c>
      <c r="Q170" s="1036"/>
      <c r="R170" s="1030">
        <f t="shared" si="37"/>
        <v>60000</v>
      </c>
      <c r="S170" s="1059"/>
      <c r="T170" s="1030">
        <f t="shared" si="38"/>
        <v>60000</v>
      </c>
      <c r="U170" s="1059"/>
      <c r="V170" s="1030">
        <f t="shared" si="35"/>
        <v>60000</v>
      </c>
    </row>
    <row r="171" spans="1:22" hidden="1">
      <c r="A171" s="773">
        <v>6171</v>
      </c>
      <c r="B171" s="772">
        <v>5161</v>
      </c>
      <c r="C171" s="785" t="s">
        <v>703</v>
      </c>
      <c r="D171" s="784">
        <v>5000</v>
      </c>
      <c r="E171" s="784">
        <v>5000</v>
      </c>
      <c r="F171" s="784">
        <v>10071</v>
      </c>
      <c r="G171" s="784">
        <f>12000-F171</f>
        <v>1929</v>
      </c>
      <c r="H171" s="784">
        <f t="shared" si="32"/>
        <v>12000</v>
      </c>
      <c r="I171" s="784">
        <f t="shared" si="34"/>
        <v>12000</v>
      </c>
      <c r="J171" s="803"/>
      <c r="K171" s="784">
        <v>1718</v>
      </c>
      <c r="L171" s="784">
        <v>5000</v>
      </c>
      <c r="M171" s="825">
        <v>3000</v>
      </c>
      <c r="N171" s="825">
        <v>5000</v>
      </c>
      <c r="O171" s="825">
        <v>5000</v>
      </c>
      <c r="P171" s="825">
        <v>5000</v>
      </c>
      <c r="Q171" s="1036"/>
      <c r="R171" s="1030">
        <f t="shared" si="37"/>
        <v>5000</v>
      </c>
      <c r="S171" s="1059"/>
      <c r="T171" s="1030">
        <f t="shared" si="38"/>
        <v>5000</v>
      </c>
      <c r="U171" s="1059"/>
      <c r="V171" s="1030">
        <f t="shared" si="35"/>
        <v>5000</v>
      </c>
    </row>
    <row r="172" spans="1:22" hidden="1">
      <c r="A172" s="773">
        <v>6171</v>
      </c>
      <c r="B172" s="772">
        <v>5162</v>
      </c>
      <c r="C172" s="785" t="s">
        <v>704</v>
      </c>
      <c r="D172" s="784">
        <v>25000</v>
      </c>
      <c r="E172" s="784">
        <v>25000</v>
      </c>
      <c r="F172" s="784">
        <v>19428.080000000002</v>
      </c>
      <c r="G172" s="784">
        <f t="shared" si="36"/>
        <v>5571.9199999999983</v>
      </c>
      <c r="H172" s="784">
        <f t="shared" si="32"/>
        <v>25000</v>
      </c>
      <c r="I172" s="784">
        <f t="shared" si="34"/>
        <v>25000</v>
      </c>
      <c r="J172" s="803"/>
      <c r="K172" s="784">
        <v>28542</v>
      </c>
      <c r="L172" s="784">
        <v>30000</v>
      </c>
      <c r="M172" s="825">
        <v>30000</v>
      </c>
      <c r="N172" s="825">
        <v>30000</v>
      </c>
      <c r="O172" s="825">
        <v>35000</v>
      </c>
      <c r="P172" s="825">
        <v>35000</v>
      </c>
      <c r="Q172" s="1036"/>
      <c r="R172" s="1030">
        <f t="shared" si="37"/>
        <v>35000</v>
      </c>
      <c r="S172" s="1059"/>
      <c r="T172" s="1030">
        <f t="shared" si="38"/>
        <v>35000</v>
      </c>
      <c r="U172" s="1059"/>
      <c r="V172" s="1030">
        <f t="shared" si="35"/>
        <v>35000</v>
      </c>
    </row>
    <row r="173" spans="1:22" hidden="1">
      <c r="A173" s="773">
        <v>6171</v>
      </c>
      <c r="B173" s="772">
        <v>5163</v>
      </c>
      <c r="C173" s="785" t="s">
        <v>705</v>
      </c>
      <c r="D173" s="784">
        <v>30000</v>
      </c>
      <c r="E173" s="784">
        <v>30000</v>
      </c>
      <c r="F173" s="784">
        <v>23564.799999999999</v>
      </c>
      <c r="G173" s="784">
        <f t="shared" si="36"/>
        <v>6435.2000000000007</v>
      </c>
      <c r="H173" s="784">
        <f t="shared" si="32"/>
        <v>30000</v>
      </c>
      <c r="I173" s="784">
        <f t="shared" si="34"/>
        <v>30000</v>
      </c>
      <c r="J173" s="803"/>
      <c r="K173" s="784">
        <v>70124</v>
      </c>
      <c r="L173" s="784">
        <v>70500</v>
      </c>
      <c r="M173" s="825">
        <v>90000</v>
      </c>
      <c r="N173" s="825">
        <v>90000</v>
      </c>
      <c r="O173" s="825">
        <v>90000</v>
      </c>
      <c r="P173" s="825">
        <v>90000</v>
      </c>
      <c r="Q173" s="1036"/>
      <c r="R173" s="1030">
        <f t="shared" si="37"/>
        <v>90000</v>
      </c>
      <c r="S173" s="1059"/>
      <c r="T173" s="1030">
        <f t="shared" si="38"/>
        <v>90000</v>
      </c>
      <c r="U173" s="1059"/>
      <c r="V173" s="1030">
        <f t="shared" si="35"/>
        <v>90000</v>
      </c>
    </row>
    <row r="174" spans="1:22" hidden="1">
      <c r="A174" s="773">
        <v>6171</v>
      </c>
      <c r="B174" s="772">
        <v>5166</v>
      </c>
      <c r="C174" s="785" t="s">
        <v>706</v>
      </c>
      <c r="D174" s="784">
        <v>100000</v>
      </c>
      <c r="E174" s="784">
        <v>100000</v>
      </c>
      <c r="F174" s="784">
        <v>25168</v>
      </c>
      <c r="G174" s="784">
        <f t="shared" si="36"/>
        <v>74832</v>
      </c>
      <c r="H174" s="784">
        <f t="shared" si="32"/>
        <v>100000</v>
      </c>
      <c r="I174" s="784">
        <f t="shared" si="34"/>
        <v>100000</v>
      </c>
      <c r="J174" s="803"/>
      <c r="K174" s="784">
        <v>44162</v>
      </c>
      <c r="L174" s="784">
        <v>100000</v>
      </c>
      <c r="M174" s="825">
        <v>450000</v>
      </c>
      <c r="N174" s="825">
        <v>200000</v>
      </c>
      <c r="O174" s="825">
        <v>400000</v>
      </c>
      <c r="P174" s="825">
        <v>1000000</v>
      </c>
      <c r="Q174" s="1036"/>
      <c r="R174" s="1030">
        <f t="shared" si="37"/>
        <v>1000000</v>
      </c>
      <c r="S174" s="1059"/>
      <c r="T174" s="1030">
        <f t="shared" si="38"/>
        <v>1000000</v>
      </c>
      <c r="U174" s="1059"/>
      <c r="V174" s="1030">
        <f t="shared" si="35"/>
        <v>1000000</v>
      </c>
    </row>
    <row r="175" spans="1:22" hidden="1">
      <c r="A175" s="773">
        <v>6171</v>
      </c>
      <c r="B175" s="772">
        <v>5167</v>
      </c>
      <c r="C175" s="785" t="s">
        <v>707</v>
      </c>
      <c r="D175" s="784">
        <v>5000</v>
      </c>
      <c r="E175" s="784">
        <v>5000</v>
      </c>
      <c r="F175" s="784">
        <v>1000</v>
      </c>
      <c r="G175" s="784">
        <f t="shared" si="36"/>
        <v>4000</v>
      </c>
      <c r="H175" s="784">
        <f t="shared" si="32"/>
        <v>5000</v>
      </c>
      <c r="I175" s="784">
        <f t="shared" si="34"/>
        <v>5000</v>
      </c>
      <c r="J175" s="803"/>
      <c r="K175" s="784">
        <v>800</v>
      </c>
      <c r="L175" s="784">
        <v>5000</v>
      </c>
      <c r="M175" s="825"/>
      <c r="N175" s="825">
        <v>5000</v>
      </c>
      <c r="O175" s="825"/>
      <c r="P175" s="825">
        <v>30000</v>
      </c>
      <c r="Q175" s="1036"/>
      <c r="R175" s="1030">
        <f t="shared" si="37"/>
        <v>30000</v>
      </c>
      <c r="S175" s="1059"/>
      <c r="T175" s="1030">
        <f t="shared" si="38"/>
        <v>30000</v>
      </c>
      <c r="U175" s="1059"/>
      <c r="V175" s="1030">
        <f t="shared" si="35"/>
        <v>30000</v>
      </c>
    </row>
    <row r="176" spans="1:22" hidden="1">
      <c r="A176" s="773">
        <v>6171</v>
      </c>
      <c r="B176" s="772">
        <v>5168</v>
      </c>
      <c r="C176" s="785" t="s">
        <v>708</v>
      </c>
      <c r="D176" s="784">
        <v>230000</v>
      </c>
      <c r="E176" s="784">
        <v>230000</v>
      </c>
      <c r="F176" s="784">
        <v>208858.12</v>
      </c>
      <c r="G176" s="784">
        <f t="shared" si="36"/>
        <v>21141.880000000005</v>
      </c>
      <c r="H176" s="784">
        <f t="shared" si="32"/>
        <v>230000</v>
      </c>
      <c r="I176" s="784">
        <f t="shared" si="34"/>
        <v>230000</v>
      </c>
      <c r="J176" s="803"/>
      <c r="K176" s="784">
        <v>189141</v>
      </c>
      <c r="L176" s="784">
        <v>230000</v>
      </c>
      <c r="M176" s="825">
        <v>250000</v>
      </c>
      <c r="N176" s="825">
        <v>300000</v>
      </c>
      <c r="O176" s="825">
        <v>300000</v>
      </c>
      <c r="P176" s="825">
        <v>350000</v>
      </c>
      <c r="Q176" s="1036"/>
      <c r="R176" s="1030">
        <f t="shared" si="37"/>
        <v>350000</v>
      </c>
      <c r="S176" s="1059"/>
      <c r="T176" s="1030">
        <f t="shared" si="38"/>
        <v>350000</v>
      </c>
      <c r="U176" s="1059"/>
      <c r="V176" s="1030">
        <f t="shared" si="35"/>
        <v>350000</v>
      </c>
    </row>
    <row r="177" spans="1:22" hidden="1">
      <c r="A177" s="773">
        <v>6171</v>
      </c>
      <c r="B177" s="772">
        <v>5169</v>
      </c>
      <c r="C177" s="785" t="s">
        <v>709</v>
      </c>
      <c r="D177" s="784">
        <v>70000</v>
      </c>
      <c r="E177" s="784">
        <v>70000</v>
      </c>
      <c r="F177" s="784">
        <v>18863.400000000001</v>
      </c>
      <c r="G177" s="784">
        <f t="shared" si="36"/>
        <v>51136.6</v>
      </c>
      <c r="H177" s="784">
        <f t="shared" si="32"/>
        <v>70000</v>
      </c>
      <c r="I177" s="784">
        <f t="shared" si="34"/>
        <v>70000</v>
      </c>
      <c r="J177" s="803"/>
      <c r="K177" s="784">
        <v>15578</v>
      </c>
      <c r="L177" s="784">
        <v>50000</v>
      </c>
      <c r="M177" s="825">
        <v>75000</v>
      </c>
      <c r="N177" s="825">
        <v>50000</v>
      </c>
      <c r="O177" s="825">
        <v>130000</v>
      </c>
      <c r="P177" s="825">
        <v>150000</v>
      </c>
      <c r="Q177" s="1036"/>
      <c r="R177" s="1030">
        <f t="shared" si="37"/>
        <v>150000</v>
      </c>
      <c r="S177" s="1059"/>
      <c r="T177" s="1030">
        <f t="shared" si="38"/>
        <v>150000</v>
      </c>
      <c r="U177" s="1059"/>
      <c r="V177" s="1030">
        <f t="shared" si="35"/>
        <v>150000</v>
      </c>
    </row>
    <row r="178" spans="1:22" hidden="1">
      <c r="A178" s="773">
        <v>6171</v>
      </c>
      <c r="B178" s="772">
        <v>5171</v>
      </c>
      <c r="C178" s="785" t="s">
        <v>710</v>
      </c>
      <c r="D178" s="784">
        <v>50000</v>
      </c>
      <c r="E178" s="784">
        <v>350000</v>
      </c>
      <c r="F178" s="784">
        <v>34740.69</v>
      </c>
      <c r="G178" s="784">
        <f t="shared" si="36"/>
        <v>315259.31</v>
      </c>
      <c r="H178" s="784">
        <f t="shared" si="32"/>
        <v>350000</v>
      </c>
      <c r="I178" s="784">
        <f t="shared" si="34"/>
        <v>350000</v>
      </c>
      <c r="J178" s="803"/>
      <c r="K178" s="784">
        <v>178861</v>
      </c>
      <c r="L178" s="784">
        <v>200000</v>
      </c>
      <c r="M178" s="825">
        <v>40000</v>
      </c>
      <c r="N178" s="825">
        <v>100000</v>
      </c>
      <c r="O178" s="825">
        <v>5000</v>
      </c>
      <c r="P178" s="825">
        <v>50000</v>
      </c>
      <c r="Q178" s="1036"/>
      <c r="R178" s="1030">
        <f t="shared" si="37"/>
        <v>50000</v>
      </c>
      <c r="S178" s="1059"/>
      <c r="T178" s="1030">
        <f t="shared" si="38"/>
        <v>50000</v>
      </c>
      <c r="U178" s="1059"/>
      <c r="V178" s="1030">
        <f t="shared" si="35"/>
        <v>50000</v>
      </c>
    </row>
    <row r="179" spans="1:22" hidden="1">
      <c r="A179" s="773">
        <v>6171</v>
      </c>
      <c r="B179" s="772">
        <v>5172</v>
      </c>
      <c r="C179" s="785" t="s">
        <v>711</v>
      </c>
      <c r="D179" s="784"/>
      <c r="E179" s="784"/>
      <c r="F179" s="784"/>
      <c r="G179" s="784"/>
      <c r="H179" s="784"/>
      <c r="I179" s="784"/>
      <c r="J179" s="803"/>
      <c r="K179" s="784"/>
      <c r="L179" s="784"/>
      <c r="M179" s="825"/>
      <c r="N179" s="825"/>
      <c r="O179" s="825">
        <v>31000</v>
      </c>
      <c r="P179" s="825">
        <v>50000</v>
      </c>
      <c r="Q179" s="1036">
        <v>150000</v>
      </c>
      <c r="R179" s="1030">
        <f t="shared" si="37"/>
        <v>200000</v>
      </c>
      <c r="S179" s="1059"/>
      <c r="T179" s="1030">
        <f t="shared" si="38"/>
        <v>200000</v>
      </c>
      <c r="U179" s="1059"/>
      <c r="V179" s="1030">
        <f t="shared" si="35"/>
        <v>200000</v>
      </c>
    </row>
    <row r="180" spans="1:22" hidden="1">
      <c r="A180" s="773">
        <v>6171</v>
      </c>
      <c r="B180" s="772">
        <v>5173</v>
      </c>
      <c r="C180" s="785" t="s">
        <v>712</v>
      </c>
      <c r="D180" s="784">
        <v>500</v>
      </c>
      <c r="E180" s="784">
        <v>500</v>
      </c>
      <c r="F180" s="784"/>
      <c r="G180" s="784">
        <f t="shared" si="36"/>
        <v>500</v>
      </c>
      <c r="H180" s="784">
        <f t="shared" si="32"/>
        <v>500</v>
      </c>
      <c r="I180" s="784">
        <f t="shared" si="34"/>
        <v>500</v>
      </c>
      <c r="J180" s="803"/>
      <c r="K180" s="784"/>
      <c r="L180" s="784">
        <v>500</v>
      </c>
      <c r="M180" s="825"/>
      <c r="N180" s="825"/>
      <c r="O180" s="825"/>
      <c r="P180" s="825">
        <v>10000</v>
      </c>
      <c r="Q180" s="1036"/>
      <c r="R180" s="1030">
        <f t="shared" si="37"/>
        <v>10000</v>
      </c>
      <c r="S180" s="1059"/>
      <c r="T180" s="1030">
        <f t="shared" si="38"/>
        <v>10000</v>
      </c>
      <c r="U180" s="1059"/>
      <c r="V180" s="1030">
        <f t="shared" si="35"/>
        <v>10000</v>
      </c>
    </row>
    <row r="181" spans="1:22" hidden="1">
      <c r="A181" s="773">
        <v>6171</v>
      </c>
      <c r="B181" s="772">
        <v>5175</v>
      </c>
      <c r="C181" s="785" t="s">
        <v>713</v>
      </c>
      <c r="D181" s="784">
        <v>10000</v>
      </c>
      <c r="E181" s="784">
        <v>10000</v>
      </c>
      <c r="F181" s="784">
        <v>15750</v>
      </c>
      <c r="G181" s="784">
        <f>20000-F181</f>
        <v>4250</v>
      </c>
      <c r="H181" s="784">
        <f t="shared" si="32"/>
        <v>20000</v>
      </c>
      <c r="I181" s="784">
        <f t="shared" si="34"/>
        <v>20000</v>
      </c>
      <c r="J181" s="803"/>
      <c r="K181" s="784">
        <v>8033</v>
      </c>
      <c r="L181" s="784">
        <v>20000</v>
      </c>
      <c r="M181" s="825">
        <v>20000</v>
      </c>
      <c r="N181" s="825">
        <v>20000</v>
      </c>
      <c r="O181" s="825">
        <v>20000</v>
      </c>
      <c r="P181" s="825">
        <v>20000</v>
      </c>
      <c r="Q181" s="1036"/>
      <c r="R181" s="1030">
        <f t="shared" si="37"/>
        <v>20000</v>
      </c>
      <c r="S181" s="1059"/>
      <c r="T181" s="1030">
        <f t="shared" si="38"/>
        <v>20000</v>
      </c>
      <c r="U181" s="1059"/>
      <c r="V181" s="1030">
        <f t="shared" si="35"/>
        <v>20000</v>
      </c>
    </row>
    <row r="182" spans="1:22" hidden="1">
      <c r="A182" s="773">
        <v>6171</v>
      </c>
      <c r="B182" s="772">
        <v>5229</v>
      </c>
      <c r="C182" s="785" t="s">
        <v>714</v>
      </c>
      <c r="D182" s="784">
        <v>150000</v>
      </c>
      <c r="E182" s="784">
        <v>150000</v>
      </c>
      <c r="F182" s="784">
        <v>10820</v>
      </c>
      <c r="G182" s="784">
        <f t="shared" si="36"/>
        <v>139180</v>
      </c>
      <c r="H182" s="784">
        <f t="shared" si="32"/>
        <v>150000</v>
      </c>
      <c r="I182" s="784">
        <f>H182</f>
        <v>150000</v>
      </c>
      <c r="J182" s="803"/>
      <c r="K182" s="784">
        <v>277586</v>
      </c>
      <c r="L182" s="784">
        <v>150000</v>
      </c>
      <c r="M182" s="825">
        <v>150000</v>
      </c>
      <c r="N182" s="825">
        <v>150000</v>
      </c>
      <c r="O182" s="825">
        <v>70000</v>
      </c>
      <c r="P182" s="825">
        <v>250000</v>
      </c>
      <c r="Q182" s="1036"/>
      <c r="R182" s="1030">
        <f t="shared" si="37"/>
        <v>250000</v>
      </c>
      <c r="S182" s="1059"/>
      <c r="T182" s="1030">
        <f t="shared" si="38"/>
        <v>250000</v>
      </c>
      <c r="U182" s="1059"/>
      <c r="V182" s="1030">
        <f t="shared" si="35"/>
        <v>250000</v>
      </c>
    </row>
    <row r="183" spans="1:22" hidden="1">
      <c r="A183" s="773">
        <v>6171</v>
      </c>
      <c r="B183" s="772">
        <v>5321</v>
      </c>
      <c r="C183" s="785" t="s">
        <v>715</v>
      </c>
      <c r="D183" s="784">
        <v>100000</v>
      </c>
      <c r="E183" s="784">
        <v>100000</v>
      </c>
      <c r="F183" s="784">
        <v>52400</v>
      </c>
      <c r="G183" s="784">
        <f t="shared" si="36"/>
        <v>47600</v>
      </c>
      <c r="H183" s="784">
        <f t="shared" si="32"/>
        <v>100000</v>
      </c>
      <c r="I183" s="784">
        <f>H183</f>
        <v>100000</v>
      </c>
      <c r="J183" s="803"/>
      <c r="K183" s="784">
        <v>100000</v>
      </c>
      <c r="L183" s="784">
        <v>100000</v>
      </c>
      <c r="M183" s="825">
        <v>100000</v>
      </c>
      <c r="N183" s="825">
        <v>200000</v>
      </c>
      <c r="O183" s="825">
        <v>200000</v>
      </c>
      <c r="P183" s="825">
        <v>200000</v>
      </c>
      <c r="Q183" s="1036"/>
      <c r="R183" s="1030">
        <f t="shared" si="37"/>
        <v>200000</v>
      </c>
      <c r="S183" s="1059"/>
      <c r="T183" s="1030">
        <f t="shared" si="38"/>
        <v>200000</v>
      </c>
      <c r="U183" s="1059"/>
      <c r="V183" s="1030">
        <f t="shared" si="35"/>
        <v>200000</v>
      </c>
    </row>
    <row r="184" spans="1:22" hidden="1">
      <c r="A184" s="773">
        <v>6171</v>
      </c>
      <c r="B184" s="772">
        <v>5329</v>
      </c>
      <c r="C184" s="785" t="s">
        <v>716</v>
      </c>
      <c r="D184" s="784"/>
      <c r="E184" s="784">
        <v>33200</v>
      </c>
      <c r="F184" s="784">
        <v>33200</v>
      </c>
      <c r="G184" s="784">
        <f t="shared" si="36"/>
        <v>0</v>
      </c>
      <c r="H184" s="784">
        <f t="shared" si="32"/>
        <v>33200</v>
      </c>
      <c r="I184" s="784">
        <f>H184</f>
        <v>33200</v>
      </c>
      <c r="J184" s="803"/>
      <c r="K184" s="784">
        <v>35020</v>
      </c>
      <c r="L184" s="784">
        <v>35500</v>
      </c>
      <c r="M184" s="825">
        <v>36000</v>
      </c>
      <c r="N184" s="825">
        <v>37000</v>
      </c>
      <c r="O184" s="825"/>
      <c r="P184" s="825">
        <v>500000</v>
      </c>
      <c r="Q184" s="1036"/>
      <c r="R184" s="1030">
        <f t="shared" si="37"/>
        <v>500000</v>
      </c>
      <c r="S184" s="1059"/>
      <c r="T184" s="1030">
        <f t="shared" si="38"/>
        <v>500000</v>
      </c>
      <c r="U184" s="1059"/>
      <c r="V184" s="1030">
        <f t="shared" si="35"/>
        <v>500000</v>
      </c>
    </row>
    <row r="185" spans="1:22" hidden="1">
      <c r="A185" s="773">
        <v>6171</v>
      </c>
      <c r="B185" s="772">
        <v>5364</v>
      </c>
      <c r="C185" s="785" t="s">
        <v>717</v>
      </c>
      <c r="D185" s="784">
        <v>30000</v>
      </c>
      <c r="E185" s="784">
        <v>30000</v>
      </c>
      <c r="F185" s="784"/>
      <c r="G185" s="784">
        <f t="shared" si="36"/>
        <v>30000</v>
      </c>
      <c r="H185" s="784">
        <f t="shared" si="32"/>
        <v>30000</v>
      </c>
      <c r="I185" s="784">
        <f>H185</f>
        <v>30000</v>
      </c>
      <c r="J185" s="809">
        <v>-30000</v>
      </c>
      <c r="K185" s="784"/>
      <c r="L185" s="784"/>
      <c r="M185" s="825"/>
      <c r="N185" s="825"/>
      <c r="O185" s="825">
        <v>112200</v>
      </c>
      <c r="P185" s="825"/>
      <c r="Q185" s="1036">
        <v>90687.47</v>
      </c>
      <c r="R185" s="1030">
        <f t="shared" si="37"/>
        <v>90687.47</v>
      </c>
      <c r="S185" s="1059"/>
      <c r="T185" s="1030">
        <f t="shared" si="38"/>
        <v>90687.47</v>
      </c>
      <c r="U185" s="1059"/>
      <c r="V185" s="1030">
        <f t="shared" si="35"/>
        <v>90687.47</v>
      </c>
    </row>
    <row r="186" spans="1:22" hidden="1">
      <c r="A186" s="773">
        <v>6171</v>
      </c>
      <c r="B186" s="772">
        <v>5492</v>
      </c>
      <c r="C186" s="785" t="s">
        <v>718</v>
      </c>
      <c r="D186" s="784"/>
      <c r="E186" s="784"/>
      <c r="F186" s="784"/>
      <c r="G186" s="784"/>
      <c r="H186" s="784"/>
      <c r="I186" s="784"/>
      <c r="J186" s="809"/>
      <c r="K186" s="784"/>
      <c r="L186" s="784"/>
      <c r="M186" s="825"/>
      <c r="N186" s="825"/>
      <c r="O186" s="825">
        <v>39000</v>
      </c>
      <c r="P186" s="825">
        <v>100000</v>
      </c>
      <c r="Q186" s="1036"/>
      <c r="R186" s="1030">
        <f t="shared" si="37"/>
        <v>100000</v>
      </c>
      <c r="S186" s="1059"/>
      <c r="T186" s="1030">
        <f t="shared" si="38"/>
        <v>100000</v>
      </c>
      <c r="U186" s="1059"/>
      <c r="V186" s="1030">
        <f t="shared" si="35"/>
        <v>100000</v>
      </c>
    </row>
    <row r="187" spans="1:22">
      <c r="A187" s="836">
        <v>6171</v>
      </c>
      <c r="B187" s="837">
        <v>6121</v>
      </c>
      <c r="C187" s="838" t="s">
        <v>719</v>
      </c>
      <c r="D187" s="839">
        <v>1000000</v>
      </c>
      <c r="E187" s="839">
        <v>200000</v>
      </c>
      <c r="F187" s="839"/>
      <c r="G187" s="839" t="e">
        <f>#REF!</f>
        <v>#REF!</v>
      </c>
      <c r="H187" s="839" t="e">
        <f t="shared" si="32"/>
        <v>#REF!</v>
      </c>
      <c r="I187" s="839" t="e">
        <f>#REF!</f>
        <v>#REF!</v>
      </c>
      <c r="J187" s="839">
        <v>1200000</v>
      </c>
      <c r="K187" s="839"/>
      <c r="L187" s="839"/>
      <c r="M187" s="842"/>
      <c r="N187" s="842"/>
      <c r="O187" s="842"/>
      <c r="P187" s="842">
        <v>3500000</v>
      </c>
      <c r="Q187" s="1036">
        <v>20000000</v>
      </c>
      <c r="R187" s="1030">
        <f t="shared" si="37"/>
        <v>23500000</v>
      </c>
      <c r="S187" s="1059">
        <v>-700000</v>
      </c>
      <c r="T187" s="1030">
        <f t="shared" si="38"/>
        <v>22800000</v>
      </c>
      <c r="U187" s="1059">
        <v>-3000000</v>
      </c>
      <c r="V187" s="1030">
        <f t="shared" si="35"/>
        <v>19800000</v>
      </c>
    </row>
    <row r="188" spans="1:22" hidden="1">
      <c r="A188" s="836">
        <v>6171</v>
      </c>
      <c r="B188" s="837">
        <v>6122</v>
      </c>
      <c r="C188" s="838" t="s">
        <v>721</v>
      </c>
      <c r="D188" s="839"/>
      <c r="E188" s="839"/>
      <c r="F188" s="839"/>
      <c r="G188" s="839"/>
      <c r="H188" s="839"/>
      <c r="I188" s="839"/>
      <c r="J188" s="839"/>
      <c r="K188" s="839"/>
      <c r="L188" s="839"/>
      <c r="M188" s="842"/>
      <c r="N188" s="842"/>
      <c r="O188" s="842">
        <v>300000</v>
      </c>
      <c r="P188" s="842"/>
      <c r="Q188" s="1036"/>
      <c r="R188" s="1030"/>
      <c r="S188" s="1059"/>
      <c r="T188" s="496"/>
      <c r="U188" s="1059"/>
      <c r="V188" s="1030"/>
    </row>
    <row r="189" spans="1:22" hidden="1">
      <c r="A189" s="773">
        <v>6310</v>
      </c>
      <c r="B189" s="772">
        <v>5141</v>
      </c>
      <c r="C189" s="785" t="s">
        <v>722</v>
      </c>
      <c r="D189" s="784">
        <v>200000</v>
      </c>
      <c r="E189" s="784">
        <v>200000</v>
      </c>
      <c r="F189" s="784">
        <v>99018.94</v>
      </c>
      <c r="G189" s="784">
        <f>4*11000</f>
        <v>44000</v>
      </c>
      <c r="H189" s="784">
        <f t="shared" si="32"/>
        <v>143018.94</v>
      </c>
      <c r="I189" s="784">
        <f>12*10500</f>
        <v>126000</v>
      </c>
      <c r="J189" s="803"/>
      <c r="K189" s="784">
        <v>103446</v>
      </c>
      <c r="L189" s="784">
        <v>126000</v>
      </c>
      <c r="M189" s="825">
        <v>110000</v>
      </c>
      <c r="N189" s="825">
        <v>110000</v>
      </c>
      <c r="O189" s="825">
        <v>60000</v>
      </c>
      <c r="P189" s="825">
        <v>70000</v>
      </c>
      <c r="Q189" s="1036"/>
      <c r="R189" s="1030">
        <f>SUM(P189:Q189)</f>
        <v>70000</v>
      </c>
      <c r="S189" s="1059"/>
      <c r="T189" s="1030">
        <f t="shared" ref="T189:T194" si="39">SUM(R189:S189)</f>
        <v>70000</v>
      </c>
      <c r="U189" s="1059"/>
      <c r="V189" s="1030">
        <f>SUM(T189:U189)</f>
        <v>70000</v>
      </c>
    </row>
    <row r="190" spans="1:22" hidden="1">
      <c r="A190" s="773">
        <v>6310</v>
      </c>
      <c r="B190" s="772">
        <v>5163</v>
      </c>
      <c r="C190" s="785" t="s">
        <v>723</v>
      </c>
      <c r="D190" s="784">
        <v>20000</v>
      </c>
      <c r="E190" s="784">
        <v>20000</v>
      </c>
      <c r="F190" s="784">
        <v>10436.4</v>
      </c>
      <c r="G190" s="784">
        <f t="shared" si="36"/>
        <v>9563.6</v>
      </c>
      <c r="H190" s="784">
        <f t="shared" si="32"/>
        <v>20000</v>
      </c>
      <c r="I190" s="784">
        <f>H190</f>
        <v>20000</v>
      </c>
      <c r="J190" s="803"/>
      <c r="K190" s="784">
        <v>5410</v>
      </c>
      <c r="L190" s="784">
        <v>15000</v>
      </c>
      <c r="M190" s="825">
        <v>10000</v>
      </c>
      <c r="N190" s="825">
        <v>10000</v>
      </c>
      <c r="O190" s="825">
        <v>10000</v>
      </c>
      <c r="P190" s="825">
        <v>10000</v>
      </c>
      <c r="Q190" s="1036"/>
      <c r="R190" s="1030">
        <f>SUM(P190:Q190)</f>
        <v>10000</v>
      </c>
      <c r="S190" s="1059">
        <v>2000</v>
      </c>
      <c r="T190" s="1030">
        <f t="shared" si="39"/>
        <v>12000</v>
      </c>
      <c r="U190" s="1059"/>
      <c r="V190" s="1030">
        <f>SUM(T190:U190)</f>
        <v>12000</v>
      </c>
    </row>
    <row r="191" spans="1:22" hidden="1">
      <c r="A191" s="773">
        <v>6310</v>
      </c>
      <c r="B191" s="772">
        <v>5362</v>
      </c>
      <c r="C191" s="785" t="s">
        <v>724</v>
      </c>
      <c r="D191" s="784">
        <v>600000</v>
      </c>
      <c r="E191" s="784">
        <v>600000</v>
      </c>
      <c r="F191" s="784">
        <v>202083</v>
      </c>
      <c r="G191" s="784">
        <f t="shared" si="36"/>
        <v>397917</v>
      </c>
      <c r="H191" s="784">
        <f t="shared" si="32"/>
        <v>600000</v>
      </c>
      <c r="I191" s="784">
        <f>H191</f>
        <v>600000</v>
      </c>
      <c r="J191" s="803"/>
      <c r="K191" s="784">
        <v>85109</v>
      </c>
      <c r="L191" s="784">
        <v>300000</v>
      </c>
      <c r="M191" s="825">
        <v>270000</v>
      </c>
      <c r="N191" s="825">
        <v>270000</v>
      </c>
      <c r="O191" s="825">
        <v>120000</v>
      </c>
      <c r="P191" s="825">
        <v>200000</v>
      </c>
      <c r="Q191" s="1036"/>
      <c r="R191" s="1030">
        <f>SUM(P191:Q191)</f>
        <v>200000</v>
      </c>
      <c r="S191" s="1059"/>
      <c r="T191" s="1030">
        <f t="shared" si="39"/>
        <v>200000</v>
      </c>
      <c r="U191" s="1059"/>
      <c r="V191" s="1030">
        <f>SUM(T191:U191)</f>
        <v>200000</v>
      </c>
    </row>
    <row r="192" spans="1:22" hidden="1">
      <c r="A192" s="773">
        <v>6399</v>
      </c>
      <c r="B192" s="772">
        <v>5362</v>
      </c>
      <c r="C192" s="785" t="s">
        <v>725</v>
      </c>
      <c r="D192" s="784">
        <v>200000</v>
      </c>
      <c r="E192" s="784">
        <v>200000</v>
      </c>
      <c r="F192" s="784"/>
      <c r="G192" s="784">
        <f t="shared" si="36"/>
        <v>200000</v>
      </c>
      <c r="H192" s="784">
        <f t="shared" si="32"/>
        <v>200000</v>
      </c>
      <c r="I192" s="784">
        <f>H192</f>
        <v>200000</v>
      </c>
      <c r="J192" s="809">
        <v>-200000</v>
      </c>
      <c r="K192" s="784"/>
      <c r="L192" s="784">
        <v>200000</v>
      </c>
      <c r="M192" s="825">
        <v>620007</v>
      </c>
      <c r="N192" s="825">
        <v>600000</v>
      </c>
      <c r="O192" s="825">
        <v>87000</v>
      </c>
      <c r="P192" s="825">
        <v>100000</v>
      </c>
      <c r="Q192" s="1036"/>
      <c r="R192" s="1030">
        <f>SUM(P192:Q192)</f>
        <v>100000</v>
      </c>
      <c r="S192" s="1059">
        <v>108000</v>
      </c>
      <c r="T192" s="1030">
        <f t="shared" si="39"/>
        <v>208000</v>
      </c>
      <c r="U192" s="1059"/>
      <c r="V192" s="1030">
        <f>SUM(T192:U192)</f>
        <v>208000</v>
      </c>
    </row>
    <row r="193" spans="1:22" hidden="1">
      <c r="A193" s="1114" t="s">
        <v>726</v>
      </c>
      <c r="B193" s="1115"/>
      <c r="C193" s="1115"/>
      <c r="D193" s="849">
        <f t="shared" ref="D193:N193" si="40">SUM(D71:D192)</f>
        <v>43881900</v>
      </c>
      <c r="E193" s="849">
        <f t="shared" si="40"/>
        <v>46585900</v>
      </c>
      <c r="F193" s="849">
        <f t="shared" si="40"/>
        <v>33123496.800000001</v>
      </c>
      <c r="G193" s="849" t="e">
        <f t="shared" si="40"/>
        <v>#REF!</v>
      </c>
      <c r="H193" s="849" t="e">
        <f t="shared" si="40"/>
        <v>#REF!</v>
      </c>
      <c r="I193" s="849" t="e">
        <f t="shared" si="40"/>
        <v>#REF!</v>
      </c>
      <c r="J193" s="1046">
        <f t="shared" si="40"/>
        <v>-238851</v>
      </c>
      <c r="K193" s="849">
        <f t="shared" si="40"/>
        <v>14623430</v>
      </c>
      <c r="L193" s="849" t="e">
        <f t="shared" si="40"/>
        <v>#REF!</v>
      </c>
      <c r="M193" s="852">
        <f t="shared" si="40"/>
        <v>19701107</v>
      </c>
      <c r="N193" s="852">
        <f t="shared" si="40"/>
        <v>35689100</v>
      </c>
      <c r="O193" s="1047">
        <f>SUM(O70:O192)</f>
        <v>32750895</v>
      </c>
      <c r="P193" s="1047">
        <f>SUM(P70:P192)</f>
        <v>101033000</v>
      </c>
      <c r="Q193" s="1048">
        <f>SUM(Q70:Q192)</f>
        <v>35382687.469999999</v>
      </c>
      <c r="R193" s="1069">
        <f>SUM(P193:Q193)</f>
        <v>136415687.47</v>
      </c>
      <c r="S193" s="1066">
        <f>SUM(S70:S192)</f>
        <v>264100</v>
      </c>
      <c r="T193" s="1061">
        <f t="shared" si="39"/>
        <v>136679787.47</v>
      </c>
      <c r="U193" s="1060"/>
      <c r="V193" s="1061">
        <f>SUM(V70:V192)</f>
        <v>136988987.47</v>
      </c>
    </row>
    <row r="194" spans="1:22" hidden="1">
      <c r="A194" s="1070"/>
      <c r="B194" s="1050">
        <v>8124</v>
      </c>
      <c r="C194" s="1051" t="s">
        <v>1238</v>
      </c>
      <c r="D194" s="1042"/>
      <c r="E194" s="1042"/>
      <c r="F194" s="1042"/>
      <c r="G194" s="1042"/>
      <c r="H194" s="1042"/>
      <c r="I194" s="1042"/>
      <c r="J194" s="1042"/>
      <c r="K194" s="1042"/>
      <c r="L194" s="1042"/>
      <c r="M194" s="1042"/>
      <c r="N194" s="1042"/>
      <c r="O194" s="1042"/>
      <c r="P194" s="828">
        <v>1500000</v>
      </c>
      <c r="Q194" s="1042"/>
      <c r="R194" s="1061">
        <v>1500000</v>
      </c>
      <c r="S194" s="1060"/>
      <c r="T194" s="1061">
        <f t="shared" si="39"/>
        <v>1500000</v>
      </c>
      <c r="U194" s="1060"/>
      <c r="V194" s="1061">
        <v>1500000</v>
      </c>
    </row>
    <row r="195" spans="1:22" ht="14" thickBot="1">
      <c r="A195" s="1116" t="s">
        <v>1239</v>
      </c>
      <c r="B195" s="1117"/>
      <c r="C195" s="1118"/>
      <c r="D195" s="1071"/>
      <c r="E195" s="1071"/>
      <c r="F195" s="1071"/>
      <c r="G195" s="1071"/>
      <c r="H195" s="1071"/>
      <c r="I195" s="1071"/>
      <c r="J195" s="1071"/>
      <c r="K195" s="1071"/>
      <c r="L195" s="1071"/>
      <c r="M195" s="1071"/>
      <c r="N195" s="1071"/>
      <c r="O195" s="1071"/>
      <c r="P195" s="1072">
        <f>SUM(P193:P194)</f>
        <v>102533000</v>
      </c>
      <c r="Q195" s="1073">
        <f>SUM(Q193:Q194)</f>
        <v>35382687.469999999</v>
      </c>
      <c r="R195" s="1063">
        <f>SUM(R193:R194)</f>
        <v>137915687.47</v>
      </c>
      <c r="S195" s="1062">
        <f>SUM(S193:S194)</f>
        <v>264100</v>
      </c>
      <c r="T195" s="1063">
        <f>SUM(T193:T194)</f>
        <v>138179787.47</v>
      </c>
      <c r="U195" s="1062">
        <f>SUM(U70:U194)</f>
        <v>309200</v>
      </c>
      <c r="V195" s="1063">
        <f>SUM(T195:U195)</f>
        <v>138488987.47</v>
      </c>
    </row>
  </sheetData>
  <mergeCells count="7">
    <mergeCell ref="A195:C195"/>
    <mergeCell ref="A26:C26"/>
    <mergeCell ref="A45:C45"/>
    <mergeCell ref="A46:C46"/>
    <mergeCell ref="A47:C47"/>
    <mergeCell ref="A51:C51"/>
    <mergeCell ref="A193:C193"/>
  </mergeCells>
  <pageMargins left="0.7" right="0.7" top="0.78740157499999996" bottom="0.78740157499999996" header="0.3" footer="0.3"/>
  <legacy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44"/>
  <sheetViews>
    <sheetView workbookViewId="0">
      <selection activeCell="C30" sqref="C30"/>
    </sheetView>
  </sheetViews>
  <sheetFormatPr baseColWidth="10" defaultColWidth="8.83203125" defaultRowHeight="13"/>
  <cols>
    <col min="1" max="1" width="27.5" customWidth="1"/>
    <col min="2" max="2" width="7.83203125" customWidth="1"/>
    <col min="3" max="4" width="9.33203125" customWidth="1"/>
    <col min="8" max="8" width="10.33203125" bestFit="1" customWidth="1"/>
    <col min="10" max="10" width="10.6640625" customWidth="1"/>
  </cols>
  <sheetData>
    <row r="1" spans="1:23" ht="14" thickBot="1">
      <c r="A1" s="1120" t="s">
        <v>732</v>
      </c>
      <c r="B1" s="132" t="s">
        <v>733</v>
      </c>
      <c r="C1" s="1119" t="s">
        <v>734</v>
      </c>
      <c r="D1" s="1119"/>
      <c r="E1" s="1119" t="s">
        <v>735</v>
      </c>
      <c r="F1" s="1119"/>
      <c r="G1" s="130" t="s">
        <v>736</v>
      </c>
      <c r="H1" s="130" t="s">
        <v>737</v>
      </c>
      <c r="I1" s="130" t="s">
        <v>738</v>
      </c>
      <c r="J1" s="662" t="s">
        <v>739</v>
      </c>
      <c r="K1" s="586" t="s">
        <v>740</v>
      </c>
    </row>
    <row r="2" spans="1:23" ht="14" thickBot="1">
      <c r="A2" s="1121"/>
      <c r="B2" s="133" t="s">
        <v>741</v>
      </c>
      <c r="C2" s="134" t="s">
        <v>742</v>
      </c>
      <c r="D2" s="131" t="s">
        <v>743</v>
      </c>
      <c r="E2" s="131" t="s">
        <v>744</v>
      </c>
      <c r="F2" s="131" t="s">
        <v>745</v>
      </c>
      <c r="G2" s="135" t="s">
        <v>746</v>
      </c>
      <c r="H2" s="131" t="s">
        <v>747</v>
      </c>
      <c r="I2" s="136">
        <v>0.15</v>
      </c>
      <c r="J2" s="663" t="s">
        <v>748</v>
      </c>
      <c r="K2" s="554">
        <v>2014</v>
      </c>
    </row>
    <row r="3" spans="1:23">
      <c r="A3" s="137" t="s">
        <v>749</v>
      </c>
      <c r="B3" s="140">
        <v>41240</v>
      </c>
      <c r="C3" s="144">
        <f>B3*0.045</f>
        <v>1855.8</v>
      </c>
      <c r="D3" s="144">
        <f>B3*0.065</f>
        <v>2680.6</v>
      </c>
      <c r="E3" s="144">
        <f>B3*0.09</f>
        <v>3711.6</v>
      </c>
      <c r="F3" s="144">
        <f>B3*0.25</f>
        <v>10310</v>
      </c>
      <c r="G3" s="144">
        <f t="shared" ref="G3:G8" si="0">CEILING(B3+E3+F3,100)</f>
        <v>55300</v>
      </c>
      <c r="H3" s="260">
        <f>2*1970-753</f>
        <v>3187</v>
      </c>
      <c r="I3" s="144">
        <f>CEILING(G3*0.15,1)-H3</f>
        <v>5108</v>
      </c>
      <c r="J3" s="664">
        <f>B3-C3-D3-I3</f>
        <v>31595.599999999999</v>
      </c>
      <c r="K3" s="671">
        <f t="shared" ref="K3:K8" si="1">J3</f>
        <v>31595.599999999999</v>
      </c>
      <c r="L3" s="3">
        <f>C3+D3+I3+J3</f>
        <v>41240</v>
      </c>
      <c r="O3" s="3"/>
      <c r="P3" s="151"/>
      <c r="Q3" s="151"/>
      <c r="R3" s="151"/>
      <c r="S3" s="151"/>
      <c r="T3" s="151"/>
      <c r="U3" s="151"/>
      <c r="V3" s="151"/>
      <c r="W3" s="151"/>
    </row>
    <row r="4" spans="1:23">
      <c r="A4" s="138" t="s">
        <v>750</v>
      </c>
      <c r="B4" s="141"/>
      <c r="C4" s="145">
        <f>B4*0.045</f>
        <v>0</v>
      </c>
      <c r="D4" s="145"/>
      <c r="E4" s="145">
        <f>B4*0.09</f>
        <v>0</v>
      </c>
      <c r="F4" s="145"/>
      <c r="G4" s="145">
        <f t="shared" si="0"/>
        <v>0</v>
      </c>
      <c r="H4" s="145"/>
      <c r="I4" s="145">
        <f>CEILING(G4*0.15,1)-H4</f>
        <v>0</v>
      </c>
      <c r="J4" s="665">
        <f>B4-C4-D4-I4</f>
        <v>0</v>
      </c>
      <c r="K4" s="669">
        <f t="shared" si="1"/>
        <v>0</v>
      </c>
      <c r="L4" s="3">
        <f>C4+I4+J4</f>
        <v>0</v>
      </c>
    </row>
    <row r="5" spans="1:23">
      <c r="A5" s="138" t="s">
        <v>751</v>
      </c>
      <c r="B5" s="141">
        <v>1840</v>
      </c>
      <c r="C5" s="145"/>
      <c r="D5" s="145"/>
      <c r="E5" s="145"/>
      <c r="F5" s="145"/>
      <c r="G5" s="145">
        <f t="shared" si="0"/>
        <v>1900</v>
      </c>
      <c r="H5" s="261">
        <v>365</v>
      </c>
      <c r="I5" s="145"/>
      <c r="J5" s="665">
        <f>B5-C5-D5-H5</f>
        <v>1475</v>
      </c>
      <c r="K5" s="669">
        <f t="shared" si="1"/>
        <v>1475</v>
      </c>
      <c r="L5" s="3">
        <f>C5+H5+J5</f>
        <v>1840</v>
      </c>
      <c r="P5" s="3"/>
    </row>
    <row r="6" spans="1:23">
      <c r="A6" s="138" t="s">
        <v>752</v>
      </c>
      <c r="B6" s="141">
        <v>3960</v>
      </c>
      <c r="C6" s="145"/>
      <c r="D6" s="145"/>
      <c r="E6" s="145"/>
      <c r="F6" s="145"/>
      <c r="G6" s="145">
        <f t="shared" si="0"/>
        <v>4000</v>
      </c>
      <c r="H6" s="261">
        <v>784</v>
      </c>
      <c r="I6" s="145"/>
      <c r="J6" s="665">
        <f>B6-C6-D6-H6</f>
        <v>3176</v>
      </c>
      <c r="K6" s="669">
        <f t="shared" si="1"/>
        <v>3176</v>
      </c>
      <c r="L6" s="3">
        <f>C6+H6+J6</f>
        <v>3960</v>
      </c>
      <c r="P6" s="3"/>
    </row>
    <row r="7" spans="1:23">
      <c r="A7" s="138" t="s">
        <v>753</v>
      </c>
      <c r="B7" s="141">
        <v>3960</v>
      </c>
      <c r="C7" s="145"/>
      <c r="D7" s="145"/>
      <c r="E7" s="145"/>
      <c r="F7" s="145"/>
      <c r="G7" s="145">
        <f t="shared" si="0"/>
        <v>4000</v>
      </c>
      <c r="H7" s="261">
        <v>784</v>
      </c>
      <c r="I7" s="145"/>
      <c r="J7" s="665">
        <f>B7-C7-D7-H7</f>
        <v>3176</v>
      </c>
      <c r="K7" s="669">
        <f t="shared" si="1"/>
        <v>3176</v>
      </c>
      <c r="L7" s="3">
        <f>C7+H7+J7</f>
        <v>3960</v>
      </c>
      <c r="P7" s="3"/>
    </row>
    <row r="8" spans="1:23" ht="14" thickBot="1">
      <c r="A8" s="138" t="s">
        <v>754</v>
      </c>
      <c r="B8" s="141">
        <v>2660</v>
      </c>
      <c r="C8" s="145"/>
      <c r="D8" s="145"/>
      <c r="E8" s="145"/>
      <c r="F8" s="145"/>
      <c r="G8" s="145">
        <f t="shared" si="0"/>
        <v>2700</v>
      </c>
      <c r="H8" s="261">
        <v>527</v>
      </c>
      <c r="I8" s="145"/>
      <c r="J8" s="666">
        <f>B8-C8-D8-H8</f>
        <v>2133</v>
      </c>
      <c r="K8" s="673">
        <f t="shared" si="1"/>
        <v>2133</v>
      </c>
      <c r="L8" s="3">
        <f>C8+H8+J8</f>
        <v>2660</v>
      </c>
      <c r="P8" s="3"/>
    </row>
    <row r="9" spans="1:23" s="103" customFormat="1" ht="14" thickBot="1">
      <c r="A9" s="154" t="s">
        <v>755</v>
      </c>
      <c r="B9" s="155">
        <f t="shared" ref="B9:L9" si="2">SUM(B3:B8)</f>
        <v>53660</v>
      </c>
      <c r="C9" s="155">
        <f t="shared" si="2"/>
        <v>1855.8</v>
      </c>
      <c r="D9" s="155">
        <f t="shared" si="2"/>
        <v>2680.6</v>
      </c>
      <c r="E9" s="160">
        <f t="shared" si="2"/>
        <v>3711.6</v>
      </c>
      <c r="F9" s="155">
        <f t="shared" si="2"/>
        <v>10310</v>
      </c>
      <c r="G9" s="155">
        <f t="shared" si="2"/>
        <v>67900</v>
      </c>
      <c r="H9" s="155">
        <f t="shared" si="2"/>
        <v>5647</v>
      </c>
      <c r="I9" s="155">
        <f t="shared" si="2"/>
        <v>5108</v>
      </c>
      <c r="J9" s="667">
        <f t="shared" si="2"/>
        <v>41555.599999999999</v>
      </c>
      <c r="K9" s="674">
        <f t="shared" si="2"/>
        <v>41555.599999999999</v>
      </c>
      <c r="L9" s="122">
        <f t="shared" si="2"/>
        <v>53660</v>
      </c>
      <c r="M9" s="106">
        <f>SUM(L3:L8)</f>
        <v>53660</v>
      </c>
      <c r="N9"/>
    </row>
    <row r="10" spans="1:23">
      <c r="A10" s="137" t="s">
        <v>756</v>
      </c>
      <c r="B10" s="158">
        <f>18156+5444</f>
        <v>23600</v>
      </c>
      <c r="C10" s="144">
        <f>B10*0.045+1</f>
        <v>1063</v>
      </c>
      <c r="D10" s="144">
        <f>B10*0.065</f>
        <v>1534</v>
      </c>
      <c r="E10" s="144">
        <f>B10*0.09</f>
        <v>2124</v>
      </c>
      <c r="F10" s="144">
        <f>B10*0.25</f>
        <v>5900</v>
      </c>
      <c r="G10" s="144">
        <f t="shared" ref="G10:G15" si="3">CEILING(B10+E10+F10,100)</f>
        <v>31700</v>
      </c>
      <c r="H10" s="144">
        <v>1970</v>
      </c>
      <c r="I10" s="260">
        <f>CEILING(G10*0.15,1)-H10-100</f>
        <v>2685</v>
      </c>
      <c r="J10" s="664">
        <f>B10-C10-D10-I10</f>
        <v>18318</v>
      </c>
      <c r="K10" s="670">
        <f t="shared" ref="K10:K15" si="4">J10</f>
        <v>18318</v>
      </c>
      <c r="L10" s="3">
        <f>C10+D10+I10+J10</f>
        <v>23600</v>
      </c>
    </row>
    <row r="11" spans="1:23" ht="14" thickBot="1">
      <c r="A11" s="139" t="s">
        <v>757</v>
      </c>
      <c r="B11" s="159">
        <v>16070</v>
      </c>
      <c r="C11" s="146">
        <f>B11*0.045+1</f>
        <v>724.15</v>
      </c>
      <c r="D11" s="146">
        <f>B11*0.065</f>
        <v>1044.55</v>
      </c>
      <c r="E11" s="146">
        <f>B11*0.09</f>
        <v>1446.3</v>
      </c>
      <c r="F11" s="146">
        <f>B11*0.25</f>
        <v>4017.5</v>
      </c>
      <c r="G11" s="146">
        <f>CEILING(B11+E11+F11,100)</f>
        <v>21600</v>
      </c>
      <c r="H11" s="146">
        <v>1970</v>
      </c>
      <c r="I11" s="677">
        <f>CEILING(G11*0.15,1)-H11-100</f>
        <v>1170</v>
      </c>
      <c r="J11" s="678">
        <f>B11-C11-D11-I11</f>
        <v>13131.300000000001</v>
      </c>
      <c r="K11" s="672">
        <f t="shared" si="4"/>
        <v>13131.300000000001</v>
      </c>
      <c r="L11" s="3">
        <f>C11+D11+I11+J11</f>
        <v>16070</v>
      </c>
      <c r="M11" s="162">
        <f>SUM(L10:L11)</f>
        <v>39670</v>
      </c>
    </row>
    <row r="12" spans="1:23">
      <c r="A12" s="153" t="s">
        <v>758</v>
      </c>
      <c r="B12" s="156">
        <v>1500</v>
      </c>
      <c r="C12" s="147"/>
      <c r="D12" s="147"/>
      <c r="E12" s="147"/>
      <c r="F12" s="147"/>
      <c r="G12" s="147">
        <f t="shared" si="3"/>
        <v>1500</v>
      </c>
      <c r="H12" s="147"/>
      <c r="I12" s="147">
        <f>CEILING(G12*0.15,1)-H12</f>
        <v>225</v>
      </c>
      <c r="J12" s="668">
        <f>B12-C12-D12-I12</f>
        <v>1275</v>
      </c>
      <c r="K12" s="670">
        <f t="shared" si="4"/>
        <v>1275</v>
      </c>
      <c r="L12" s="3">
        <f>K12</f>
        <v>1275</v>
      </c>
    </row>
    <row r="13" spans="1:23">
      <c r="A13" s="203" t="s">
        <v>759</v>
      </c>
      <c r="B13" s="264"/>
      <c r="C13" s="145">
        <f>B13*0.045</f>
        <v>0</v>
      </c>
      <c r="D13" s="145">
        <f>B13*0.065</f>
        <v>0</v>
      </c>
      <c r="E13" s="145">
        <f>B13*0.09</f>
        <v>0</v>
      </c>
      <c r="F13" s="145">
        <f>B13*0.25</f>
        <v>0</v>
      </c>
      <c r="G13" s="145">
        <f>CEILING(B13+E13+F13,100)</f>
        <v>0</v>
      </c>
      <c r="H13" s="262"/>
      <c r="I13" s="145">
        <f>CEILING(G13*0.15,1)-H13</f>
        <v>0</v>
      </c>
      <c r="J13" s="665">
        <f>B13-C13-D13-I13</f>
        <v>0</v>
      </c>
      <c r="K13" s="671">
        <f t="shared" si="4"/>
        <v>0</v>
      </c>
      <c r="L13" s="3">
        <f>J13</f>
        <v>0</v>
      </c>
    </row>
    <row r="14" spans="1:23">
      <c r="A14" s="148" t="s">
        <v>760</v>
      </c>
      <c r="B14" s="202">
        <v>2200</v>
      </c>
      <c r="C14" s="147"/>
      <c r="D14" s="147"/>
      <c r="E14" s="147"/>
      <c r="F14" s="676"/>
      <c r="G14" s="147">
        <f>CEILING(B14+E14+F14,100)</f>
        <v>2200</v>
      </c>
      <c r="H14" s="263"/>
      <c r="I14" s="147">
        <f>(G14*0.15)-H14</f>
        <v>330</v>
      </c>
      <c r="J14" s="668">
        <f>B14-C14-D14-I14</f>
        <v>1870</v>
      </c>
      <c r="K14" s="671">
        <f t="shared" si="4"/>
        <v>1870</v>
      </c>
      <c r="L14" s="3">
        <f>J14</f>
        <v>1870</v>
      </c>
    </row>
    <row r="15" spans="1:23" ht="14" thickBot="1">
      <c r="A15" s="139" t="s">
        <v>761</v>
      </c>
      <c r="B15" s="142">
        <v>2500</v>
      </c>
      <c r="C15" s="146"/>
      <c r="D15" s="146"/>
      <c r="E15" s="146"/>
      <c r="F15" s="146"/>
      <c r="G15" s="146">
        <f t="shared" si="3"/>
        <v>2500</v>
      </c>
      <c r="H15" s="146">
        <v>675</v>
      </c>
      <c r="I15" s="146"/>
      <c r="J15" s="666">
        <f>B15-C15-D15-H15</f>
        <v>1825</v>
      </c>
      <c r="K15" s="675">
        <f t="shared" si="4"/>
        <v>1825</v>
      </c>
      <c r="L15" s="3">
        <f>E15+I15+J15</f>
        <v>1825</v>
      </c>
    </row>
    <row r="16" spans="1:23">
      <c r="B16" s="3"/>
      <c r="C16" s="3"/>
      <c r="D16" s="3"/>
      <c r="E16" s="163">
        <f t="shared" ref="E16:K16" si="5">SUM(E10:E15)</f>
        <v>3570.3</v>
      </c>
      <c r="F16" s="164">
        <f t="shared" si="5"/>
        <v>9917.5</v>
      </c>
      <c r="G16" s="106">
        <f t="shared" si="5"/>
        <v>59500</v>
      </c>
      <c r="H16" s="106">
        <f t="shared" si="5"/>
        <v>4615</v>
      </c>
      <c r="I16" s="106">
        <f t="shared" si="5"/>
        <v>4410</v>
      </c>
      <c r="J16" s="106">
        <f t="shared" si="5"/>
        <v>36419.300000000003</v>
      </c>
      <c r="K16" s="106">
        <f t="shared" si="5"/>
        <v>36419.300000000003</v>
      </c>
      <c r="L16" s="165">
        <f>SUM(L10:L15)</f>
        <v>44640</v>
      </c>
      <c r="M16" s="3">
        <f>SUM(L12:L15)</f>
        <v>4970</v>
      </c>
    </row>
    <row r="17" spans="1:11">
      <c r="A17" s="148" t="s">
        <v>762</v>
      </c>
      <c r="B17" s="3">
        <v>6112</v>
      </c>
      <c r="C17">
        <v>5023</v>
      </c>
      <c r="D17" s="122">
        <f>L9</f>
        <v>53660</v>
      </c>
      <c r="F17" s="3"/>
      <c r="J17" s="3"/>
      <c r="K17" s="3"/>
    </row>
    <row r="18" spans="1:11">
      <c r="A18" s="148" t="s">
        <v>763</v>
      </c>
      <c r="B18" s="3">
        <v>6112</v>
      </c>
      <c r="C18">
        <v>5031</v>
      </c>
      <c r="D18" s="106">
        <f>F9</f>
        <v>10310</v>
      </c>
      <c r="F18" s="3"/>
      <c r="J18" s="3"/>
      <c r="K18" s="3"/>
    </row>
    <row r="19" spans="1:11">
      <c r="A19" s="148" t="s">
        <v>764</v>
      </c>
      <c r="B19" s="3">
        <v>6112</v>
      </c>
      <c r="C19">
        <v>5032</v>
      </c>
      <c r="D19" s="161">
        <f>E9</f>
        <v>3711.6</v>
      </c>
      <c r="E19" s="3"/>
      <c r="F19" s="3"/>
      <c r="J19" s="3"/>
      <c r="K19" s="3"/>
    </row>
    <row r="20" spans="1:11">
      <c r="A20" s="148" t="s">
        <v>765</v>
      </c>
      <c r="B20" s="3">
        <v>6171</v>
      </c>
      <c r="C20">
        <v>5011</v>
      </c>
      <c r="D20" s="162">
        <f>M11</f>
        <v>39670</v>
      </c>
      <c r="E20" s="3"/>
      <c r="F20" s="3"/>
      <c r="J20" s="151"/>
      <c r="K20" s="3"/>
    </row>
    <row r="21" spans="1:11">
      <c r="A21" s="148" t="s">
        <v>766</v>
      </c>
      <c r="B21" s="3">
        <v>6171</v>
      </c>
      <c r="C21">
        <v>5032</v>
      </c>
      <c r="D21" s="163">
        <f>E16</f>
        <v>3570.3</v>
      </c>
      <c r="E21" s="3"/>
      <c r="F21" s="3"/>
      <c r="J21" s="151"/>
      <c r="K21" s="3"/>
    </row>
    <row r="22" spans="1:11">
      <c r="A22" s="148" t="s">
        <v>767</v>
      </c>
      <c r="B22" s="3">
        <v>5171</v>
      </c>
      <c r="C22">
        <v>5031</v>
      </c>
      <c r="D22" s="164">
        <f>F16</f>
        <v>9917.5</v>
      </c>
      <c r="E22" s="3"/>
      <c r="F22" s="3"/>
      <c r="J22" s="151"/>
      <c r="K22" s="3"/>
    </row>
    <row r="23" spans="1:11">
      <c r="A23" s="148" t="s">
        <v>768</v>
      </c>
      <c r="B23" s="3">
        <v>2329</v>
      </c>
      <c r="C23">
        <v>5021</v>
      </c>
      <c r="D23" s="3">
        <f>J13</f>
        <v>0</v>
      </c>
      <c r="E23" s="3" t="s">
        <v>769</v>
      </c>
      <c r="F23" s="3"/>
      <c r="J23" s="3"/>
      <c r="K23" s="3"/>
    </row>
    <row r="24" spans="1:11">
      <c r="A24" s="148" t="s">
        <v>770</v>
      </c>
      <c r="B24" s="3">
        <v>6171</v>
      </c>
      <c r="C24">
        <v>5021</v>
      </c>
      <c r="D24" s="165">
        <f>L12+L14+L15</f>
        <v>4970</v>
      </c>
      <c r="E24" s="3"/>
      <c r="F24" s="3"/>
      <c r="J24" s="3"/>
      <c r="K24" s="3"/>
    </row>
    <row r="25" spans="1:11">
      <c r="B25" s="3"/>
      <c r="C25" s="3"/>
      <c r="D25" s="165">
        <f>D20+D23+D24</f>
        <v>44640</v>
      </c>
      <c r="E25" s="3"/>
      <c r="F25" s="3"/>
      <c r="G25" s="3"/>
      <c r="H25" s="3"/>
      <c r="I25" s="3"/>
      <c r="J25" s="3"/>
    </row>
    <row r="26" spans="1:11">
      <c r="B26" s="3"/>
      <c r="C26" s="3"/>
      <c r="D26" s="3"/>
      <c r="E26" s="3"/>
      <c r="F26" s="3"/>
      <c r="G26" s="3"/>
      <c r="H26" s="3"/>
      <c r="I26" s="3"/>
    </row>
    <row r="27" spans="1:11">
      <c r="A27" t="s">
        <v>771</v>
      </c>
      <c r="B27" t="s">
        <v>376</v>
      </c>
      <c r="C27" t="s">
        <v>772</v>
      </c>
      <c r="D27" s="4"/>
      <c r="E27" s="4"/>
      <c r="F27" s="4"/>
      <c r="G27" s="127"/>
    </row>
    <row r="28" spans="1:11">
      <c r="A28" s="426" t="s">
        <v>773</v>
      </c>
      <c r="B28" s="4">
        <v>1111</v>
      </c>
      <c r="C28" s="121" t="s">
        <v>774</v>
      </c>
      <c r="D28" s="3"/>
      <c r="E28" s="3"/>
      <c r="F28" s="143"/>
      <c r="G28" s="3"/>
    </row>
    <row r="29" spans="1:11">
      <c r="A29" s="426" t="s">
        <v>548</v>
      </c>
      <c r="B29" s="4">
        <v>1112</v>
      </c>
      <c r="C29" s="489" t="s">
        <v>775</v>
      </c>
      <c r="D29" s="3"/>
      <c r="E29" s="3"/>
      <c r="F29" s="3"/>
    </row>
    <row r="30" spans="1:11">
      <c r="A30" s="426" t="s">
        <v>776</v>
      </c>
      <c r="B30" s="4">
        <v>1113</v>
      </c>
      <c r="C30" s="4">
        <v>1660</v>
      </c>
      <c r="D30" s="3"/>
      <c r="E30" s="3"/>
    </row>
    <row r="31" spans="1:11">
      <c r="A31" s="426" t="s">
        <v>552</v>
      </c>
      <c r="B31" s="4">
        <v>1121</v>
      </c>
      <c r="C31" s="4">
        <v>641</v>
      </c>
      <c r="D31" s="3"/>
      <c r="E31" s="3"/>
    </row>
    <row r="32" spans="1:11">
      <c r="A32" s="426" t="s">
        <v>554</v>
      </c>
      <c r="B32" s="4">
        <v>1211</v>
      </c>
      <c r="C32" s="4">
        <v>1679</v>
      </c>
      <c r="D32" s="3"/>
      <c r="E32" s="3"/>
    </row>
    <row r="33" spans="1:5">
      <c r="A33" s="4"/>
    </row>
    <row r="34" spans="1:5">
      <c r="A34" s="4"/>
      <c r="D34" s="3"/>
    </row>
    <row r="35" spans="1:5">
      <c r="A35" s="103" t="s">
        <v>777</v>
      </c>
      <c r="B35" t="s">
        <v>778</v>
      </c>
      <c r="C35" t="s">
        <v>779</v>
      </c>
      <c r="D35" s="127" t="s">
        <v>780</v>
      </c>
    </row>
    <row r="36" spans="1:5">
      <c r="A36" t="s">
        <v>781</v>
      </c>
      <c r="B36" t="s">
        <v>782</v>
      </c>
      <c r="C36" s="3">
        <v>18638</v>
      </c>
      <c r="D36" s="128">
        <v>200</v>
      </c>
      <c r="E36" s="129">
        <f t="shared" ref="E36:E42" si="6">C36*D36</f>
        <v>3727600</v>
      </c>
    </row>
    <row r="37" spans="1:5">
      <c r="A37" s="123" t="s">
        <v>783</v>
      </c>
      <c r="B37">
        <v>24</v>
      </c>
      <c r="C37">
        <v>496</v>
      </c>
      <c r="D37" s="103">
        <v>200</v>
      </c>
      <c r="E37" s="106">
        <f t="shared" si="6"/>
        <v>99200</v>
      </c>
    </row>
    <row r="38" spans="1:5">
      <c r="A38" s="123" t="s">
        <v>784</v>
      </c>
      <c r="B38">
        <v>25</v>
      </c>
      <c r="C38">
        <v>141</v>
      </c>
      <c r="D38" s="103">
        <v>200</v>
      </c>
      <c r="E38" s="106">
        <f t="shared" si="6"/>
        <v>28200</v>
      </c>
    </row>
    <row r="39" spans="1:5">
      <c r="A39" s="123" t="s">
        <v>785</v>
      </c>
      <c r="B39">
        <v>26</v>
      </c>
      <c r="C39">
        <v>87</v>
      </c>
      <c r="D39" s="103">
        <v>200</v>
      </c>
      <c r="E39" s="106">
        <f t="shared" si="6"/>
        <v>17400</v>
      </c>
    </row>
    <row r="40" spans="1:5">
      <c r="A40" s="123" t="s">
        <v>786</v>
      </c>
      <c r="B40">
        <v>27</v>
      </c>
      <c r="C40">
        <v>151</v>
      </c>
      <c r="D40" s="103">
        <v>200</v>
      </c>
      <c r="E40" s="106">
        <f t="shared" si="6"/>
        <v>30200</v>
      </c>
    </row>
    <row r="41" spans="1:5">
      <c r="A41" s="123" t="s">
        <v>787</v>
      </c>
      <c r="B41">
        <v>28</v>
      </c>
      <c r="C41">
        <v>2612</v>
      </c>
      <c r="D41" s="103">
        <v>200</v>
      </c>
      <c r="E41" s="106">
        <f t="shared" si="6"/>
        <v>522400</v>
      </c>
    </row>
    <row r="42" spans="1:5" s="103" customFormat="1">
      <c r="A42" s="126" t="s">
        <v>788</v>
      </c>
      <c r="C42" s="106">
        <f>SUM(C36:C41)</f>
        <v>22125</v>
      </c>
      <c r="D42" s="103">
        <v>200</v>
      </c>
      <c r="E42" s="106">
        <f t="shared" si="6"/>
        <v>4425000</v>
      </c>
    </row>
    <row r="43" spans="1:5">
      <c r="A43" t="s">
        <v>789</v>
      </c>
      <c r="B43" t="s">
        <v>790</v>
      </c>
      <c r="C43">
        <v>1427</v>
      </c>
    </row>
    <row r="44" spans="1:5">
      <c r="B44" s="123" t="s">
        <v>791</v>
      </c>
      <c r="C44">
        <v>396</v>
      </c>
    </row>
  </sheetData>
  <mergeCells count="3">
    <mergeCell ref="C1:D1"/>
    <mergeCell ref="E1:F1"/>
    <mergeCell ref="A1:A2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5"/>
  <sheetViews>
    <sheetView topLeftCell="A2" workbookViewId="0">
      <selection activeCell="G18" sqref="G18"/>
    </sheetView>
  </sheetViews>
  <sheetFormatPr baseColWidth="10" defaultColWidth="8.83203125" defaultRowHeight="13"/>
  <cols>
    <col min="1" max="1" width="41.1640625" customWidth="1"/>
    <col min="3" max="3" width="9.5" bestFit="1" customWidth="1"/>
    <col min="5" max="6" width="9.5" bestFit="1" customWidth="1"/>
    <col min="7" max="7" width="40.5" bestFit="1" customWidth="1"/>
  </cols>
  <sheetData>
    <row r="1" spans="1:7" ht="39.75" customHeight="1" thickBot="1">
      <c r="A1" s="725" t="s">
        <v>792</v>
      </c>
      <c r="B1" s="726" t="s">
        <v>793</v>
      </c>
      <c r="C1" s="727" t="s">
        <v>794</v>
      </c>
      <c r="D1" s="726" t="s">
        <v>795</v>
      </c>
      <c r="E1" s="728" t="s">
        <v>796</v>
      </c>
      <c r="F1" s="756" t="s">
        <v>797</v>
      </c>
      <c r="G1" s="729" t="s">
        <v>798</v>
      </c>
    </row>
    <row r="2" spans="1:7" ht="21.75" customHeight="1" thickBot="1">
      <c r="A2" s="730" t="s">
        <v>799</v>
      </c>
      <c r="B2" s="731" t="s">
        <v>800</v>
      </c>
      <c r="C2" s="732" t="s">
        <v>801</v>
      </c>
      <c r="D2" s="731" t="s">
        <v>800</v>
      </c>
      <c r="E2" s="732" t="s">
        <v>801</v>
      </c>
      <c r="F2" s="757" t="s">
        <v>800</v>
      </c>
    </row>
    <row r="3" spans="1:7" ht="17" customHeight="1" thickBot="1">
      <c r="A3" s="733" t="s">
        <v>802</v>
      </c>
      <c r="B3" s="734">
        <v>256611</v>
      </c>
      <c r="C3" s="735">
        <f>B3</f>
        <v>256611</v>
      </c>
      <c r="D3" s="734">
        <v>400000</v>
      </c>
      <c r="E3" s="735">
        <f>D3</f>
        <v>400000</v>
      </c>
      <c r="F3" s="758">
        <v>301000</v>
      </c>
      <c r="G3" t="s">
        <v>803</v>
      </c>
    </row>
    <row r="4" spans="1:7" ht="17" customHeight="1" thickBot="1">
      <c r="A4" s="733" t="s">
        <v>648</v>
      </c>
      <c r="B4" s="734">
        <f>1067049-B5</f>
        <v>1047549</v>
      </c>
      <c r="C4" s="735">
        <v>864000</v>
      </c>
      <c r="D4" s="734">
        <f>900000</f>
        <v>900000</v>
      </c>
      <c r="E4" s="735">
        <f>12*72000</f>
        <v>864000</v>
      </c>
      <c r="F4" s="758">
        <f>1000000-F5</f>
        <v>980500</v>
      </c>
      <c r="G4" t="s">
        <v>804</v>
      </c>
    </row>
    <row r="5" spans="1:7" ht="17" customHeight="1" thickBot="1">
      <c r="A5" s="733" t="s">
        <v>805</v>
      </c>
      <c r="B5" s="734">
        <v>19500</v>
      </c>
      <c r="C5" s="957">
        <v>0</v>
      </c>
      <c r="D5" s="734">
        <v>19500</v>
      </c>
      <c r="E5" s="957">
        <v>0</v>
      </c>
      <c r="F5" s="758">
        <v>19500</v>
      </c>
      <c r="G5" t="s">
        <v>806</v>
      </c>
    </row>
    <row r="6" spans="1:7" ht="17" customHeight="1" thickBot="1">
      <c r="A6" s="733" t="s">
        <v>807</v>
      </c>
      <c r="B6" s="734">
        <f>78402</f>
        <v>78402</v>
      </c>
      <c r="C6" s="735">
        <v>25000</v>
      </c>
      <c r="D6" s="734">
        <v>25000</v>
      </c>
      <c r="E6" s="735">
        <v>25000</v>
      </c>
      <c r="F6" s="758">
        <v>50000</v>
      </c>
      <c r="G6" t="s">
        <v>808</v>
      </c>
    </row>
    <row r="7" spans="1:7" ht="17" customHeight="1" thickBot="1">
      <c r="A7" s="733" t="s">
        <v>725</v>
      </c>
      <c r="B7" s="734">
        <v>1000</v>
      </c>
      <c r="C7" s="735">
        <v>25000</v>
      </c>
      <c r="D7" s="734">
        <v>25000</v>
      </c>
      <c r="E7" s="735">
        <v>25000</v>
      </c>
      <c r="F7" s="758">
        <v>10000</v>
      </c>
      <c r="G7" t="s">
        <v>809</v>
      </c>
    </row>
    <row r="8" spans="1:7" ht="17" customHeight="1" thickBot="1">
      <c r="A8" s="733" t="s">
        <v>810</v>
      </c>
      <c r="B8" s="734">
        <v>1532460</v>
      </c>
      <c r="C8" s="735">
        <v>1532461</v>
      </c>
      <c r="D8" s="734">
        <v>1532461</v>
      </c>
      <c r="E8" s="735">
        <v>1532461</v>
      </c>
      <c r="F8" s="758">
        <f>E8</f>
        <v>1532461</v>
      </c>
      <c r="G8" s="600" t="s">
        <v>811</v>
      </c>
    </row>
    <row r="9" spans="1:7" ht="17" customHeight="1" thickBot="1">
      <c r="A9" s="733" t="s">
        <v>812</v>
      </c>
      <c r="B9" s="734">
        <v>2500</v>
      </c>
      <c r="C9" s="735">
        <v>100</v>
      </c>
      <c r="D9" s="734">
        <v>2500</v>
      </c>
      <c r="E9" s="735">
        <v>100</v>
      </c>
      <c r="F9" s="758">
        <v>2500</v>
      </c>
      <c r="G9" s="600" t="s">
        <v>813</v>
      </c>
    </row>
    <row r="10" spans="1:7" ht="17" customHeight="1" thickBot="1">
      <c r="A10" s="958" t="s">
        <v>814</v>
      </c>
      <c r="B10" s="959">
        <v>-617545</v>
      </c>
      <c r="C10" s="960">
        <v>0</v>
      </c>
      <c r="D10" s="959">
        <v>0</v>
      </c>
      <c r="E10" s="960">
        <v>0</v>
      </c>
      <c r="F10" s="961">
        <v>0</v>
      </c>
    </row>
    <row r="11" spans="1:7" ht="17" customHeight="1" thickBot="1">
      <c r="A11" s="733" t="s">
        <v>815</v>
      </c>
      <c r="B11" s="734">
        <f>SUM(B3:B10)</f>
        <v>2320477</v>
      </c>
      <c r="C11" s="735">
        <f>SUM(C3:C10)</f>
        <v>2703172</v>
      </c>
      <c r="D11" s="734">
        <f>SUM(D3:D10)</f>
        <v>2904461</v>
      </c>
      <c r="E11" s="735">
        <f>SUM(E3:E10)</f>
        <v>2846561</v>
      </c>
      <c r="F11" s="734">
        <f>SUM(F3:F10)</f>
        <v>2895961</v>
      </c>
    </row>
    <row r="12" spans="1:7" ht="17" customHeight="1" thickBot="1">
      <c r="A12" s="736" t="s">
        <v>816</v>
      </c>
      <c r="B12" s="737">
        <v>74113</v>
      </c>
      <c r="C12" s="738">
        <v>74000</v>
      </c>
      <c r="D12" s="737">
        <v>74000</v>
      </c>
      <c r="E12" s="738">
        <v>74720</v>
      </c>
      <c r="F12" s="759">
        <v>74000</v>
      </c>
      <c r="G12" t="s">
        <v>817</v>
      </c>
    </row>
    <row r="13" spans="1:7" ht="17" customHeight="1" thickBot="1">
      <c r="A13" s="733" t="s">
        <v>818</v>
      </c>
      <c r="B13" s="739">
        <f>B11/B12</f>
        <v>31.309986102303238</v>
      </c>
      <c r="C13" s="740">
        <f>C11/C12</f>
        <v>36.529351351351352</v>
      </c>
      <c r="D13" s="739">
        <f>D11/D12</f>
        <v>39.249472972972974</v>
      </c>
      <c r="E13" s="740">
        <f>E11/E12</f>
        <v>38.096373126338328</v>
      </c>
      <c r="F13" s="739">
        <f>F11/F12</f>
        <v>39.134608108108111</v>
      </c>
    </row>
    <row r="14" spans="1:7" ht="17" customHeight="1" thickBot="1">
      <c r="A14" s="741" t="s">
        <v>819</v>
      </c>
      <c r="B14" s="742">
        <f>1.15*B13</f>
        <v>36.006484017648724</v>
      </c>
      <c r="C14" s="743">
        <f>1.15*C13</f>
        <v>42.008754054054052</v>
      </c>
      <c r="D14" s="742">
        <f>1.15*D13</f>
        <v>45.136893918918915</v>
      </c>
      <c r="E14" s="743">
        <f>1.15*E13</f>
        <v>43.810829095289073</v>
      </c>
      <c r="F14" s="742">
        <f>1.15*F13</f>
        <v>45.004799324324324</v>
      </c>
    </row>
    <row r="15" spans="1:7" ht="17" customHeight="1" thickBot="1">
      <c r="A15" s="744" t="s">
        <v>820</v>
      </c>
      <c r="B15" s="745">
        <f>ROUND(B14,0)</f>
        <v>36</v>
      </c>
      <c r="C15" s="746">
        <f>ROUND(C14,0)</f>
        <v>42</v>
      </c>
      <c r="D15" s="745">
        <f>ROUND(D14,0)</f>
        <v>45</v>
      </c>
      <c r="E15" s="746">
        <f>ROUND(E14,0)</f>
        <v>44</v>
      </c>
      <c r="F15" s="745">
        <f>ROUND(F14,0)</f>
        <v>45</v>
      </c>
    </row>
    <row r="17" spans="1:6">
      <c r="A17" s="747"/>
      <c r="B17" s="213" t="s">
        <v>821</v>
      </c>
      <c r="C17" s="213"/>
    </row>
    <row r="18" spans="1:6" s="359" customFormat="1" ht="34.5" customHeight="1">
      <c r="A18" s="748" t="s">
        <v>822</v>
      </c>
      <c r="B18" s="749">
        <f>2668059/36</f>
        <v>74112.75</v>
      </c>
      <c r="C18" s="750"/>
    </row>
    <row r="25" spans="1:6">
      <c r="E25" s="3"/>
      <c r="F25" s="3"/>
    </row>
  </sheetData>
  <phoneticPr fontId="2" type="noConversion"/>
  <pageMargins left="0.78740157499999996" right="0.78740157499999996" top="0.984251969" bottom="0.984251969" header="0.4921259845" footer="0.4921259845"/>
  <headerFooter alignWithMargins="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32"/>
  <sheetViews>
    <sheetView workbookViewId="0">
      <selection activeCell="I29" sqref="I29"/>
    </sheetView>
  </sheetViews>
  <sheetFormatPr baseColWidth="10" defaultColWidth="8.83203125" defaultRowHeight="13"/>
  <cols>
    <col min="2" max="2" width="11.1640625" bestFit="1" customWidth="1"/>
    <col min="3" max="3" width="9.1640625" style="4" customWidth="1"/>
    <col min="4" max="4" width="10.5" bestFit="1" customWidth="1"/>
    <col min="5" max="5" width="13.33203125" bestFit="1" customWidth="1"/>
    <col min="6" max="6" width="10.5" bestFit="1" customWidth="1"/>
    <col min="7" max="7" width="3.33203125" customWidth="1"/>
    <col min="8" max="8" width="15.83203125" style="4" bestFit="1" customWidth="1"/>
    <col min="9" max="9" width="17.33203125" style="4" customWidth="1"/>
    <col min="10" max="10" width="16.1640625" customWidth="1"/>
    <col min="11" max="12" width="10.5" bestFit="1" customWidth="1"/>
    <col min="13" max="13" width="13.1640625" bestFit="1" customWidth="1"/>
    <col min="14" max="14" width="10.5" bestFit="1" customWidth="1"/>
  </cols>
  <sheetData>
    <row r="1" spans="1:16" s="103" customFormat="1">
      <c r="A1" s="213" t="s">
        <v>376</v>
      </c>
      <c r="B1" s="213" t="s">
        <v>823</v>
      </c>
      <c r="C1" s="213" t="s">
        <v>824</v>
      </c>
      <c r="D1" s="213" t="s">
        <v>825</v>
      </c>
      <c r="E1" s="213" t="s">
        <v>826</v>
      </c>
      <c r="F1" s="213" t="s">
        <v>827</v>
      </c>
      <c r="H1" s="213" t="s">
        <v>828</v>
      </c>
      <c r="I1" s="213" t="s">
        <v>829</v>
      </c>
    </row>
    <row r="2" spans="1:16">
      <c r="A2" t="s">
        <v>830</v>
      </c>
      <c r="D2" s="288">
        <v>41</v>
      </c>
      <c r="E2" s="752">
        <f>D2*1.15</f>
        <v>47.15</v>
      </c>
      <c r="F2" s="288">
        <v>60</v>
      </c>
      <c r="I2" s="754">
        <v>1000</v>
      </c>
    </row>
    <row r="3" spans="1:16">
      <c r="A3" t="s">
        <v>831</v>
      </c>
      <c r="D3" s="288">
        <v>50</v>
      </c>
      <c r="E3" s="752">
        <f t="shared" ref="E3:E14" si="0">D3*1.15</f>
        <v>57.499999999999993</v>
      </c>
      <c r="F3" s="288">
        <v>70</v>
      </c>
    </row>
    <row r="4" spans="1:16">
      <c r="A4">
        <v>80</v>
      </c>
      <c r="B4" t="s">
        <v>832</v>
      </c>
      <c r="C4" s="4">
        <v>34</v>
      </c>
      <c r="D4" s="288">
        <v>1144</v>
      </c>
      <c r="E4" s="752">
        <f t="shared" si="0"/>
        <v>1315.6</v>
      </c>
      <c r="F4" s="288">
        <v>1800</v>
      </c>
      <c r="H4" s="753">
        <f>C4*E4</f>
        <v>44730.399999999994</v>
      </c>
      <c r="I4" s="754">
        <f>C4*F4</f>
        <v>61200</v>
      </c>
    </row>
    <row r="5" spans="1:16">
      <c r="A5">
        <v>80</v>
      </c>
      <c r="B5" t="s">
        <v>833</v>
      </c>
      <c r="C5" s="4">
        <v>41</v>
      </c>
      <c r="D5" s="288">
        <v>572</v>
      </c>
      <c r="E5" s="752">
        <f t="shared" si="0"/>
        <v>657.8</v>
      </c>
      <c r="F5" s="288">
        <v>900</v>
      </c>
      <c r="H5" s="753">
        <f t="shared" ref="H5:H22" si="1">C5*E5</f>
        <v>26969.8</v>
      </c>
      <c r="I5" s="754">
        <f t="shared" ref="I5:I14" si="2">C5*F5</f>
        <v>36900</v>
      </c>
    </row>
    <row r="6" spans="1:16">
      <c r="A6">
        <v>120</v>
      </c>
      <c r="B6" t="s">
        <v>832</v>
      </c>
      <c r="C6" s="4">
        <v>277</v>
      </c>
      <c r="D6" s="288">
        <v>1612</v>
      </c>
      <c r="E6" s="752">
        <f t="shared" si="0"/>
        <v>1853.8</v>
      </c>
      <c r="F6" s="288">
        <v>2500</v>
      </c>
      <c r="H6" s="753">
        <f t="shared" si="1"/>
        <v>513502.6</v>
      </c>
      <c r="I6" s="754">
        <f t="shared" si="2"/>
        <v>692500</v>
      </c>
      <c r="J6" s="201"/>
      <c r="K6" s="201"/>
      <c r="L6" s="201"/>
      <c r="M6" s="751"/>
      <c r="N6" s="201"/>
      <c r="O6" s="201"/>
    </row>
    <row r="7" spans="1:16">
      <c r="A7">
        <v>120</v>
      </c>
      <c r="B7" t="s">
        <v>833</v>
      </c>
      <c r="C7" s="4">
        <v>297</v>
      </c>
      <c r="D7" s="288">
        <v>971</v>
      </c>
      <c r="E7" s="752">
        <f t="shared" si="0"/>
        <v>1116.6499999999999</v>
      </c>
      <c r="F7" s="288">
        <v>1500</v>
      </c>
      <c r="H7" s="753">
        <f t="shared" si="1"/>
        <v>331645.05</v>
      </c>
      <c r="I7" s="754">
        <f t="shared" si="2"/>
        <v>445500</v>
      </c>
      <c r="J7" s="201"/>
      <c r="K7" s="201"/>
      <c r="L7" s="201"/>
      <c r="M7" s="751"/>
      <c r="N7" s="201"/>
      <c r="O7" s="201"/>
    </row>
    <row r="8" spans="1:16">
      <c r="A8">
        <v>240</v>
      </c>
      <c r="B8" t="s">
        <v>832</v>
      </c>
      <c r="C8" s="4">
        <v>10</v>
      </c>
      <c r="D8" s="288">
        <v>2807</v>
      </c>
      <c r="E8" s="752">
        <f t="shared" si="0"/>
        <v>3228.0499999999997</v>
      </c>
      <c r="F8" s="288">
        <v>4300</v>
      </c>
      <c r="H8" s="753">
        <f t="shared" si="1"/>
        <v>32280.499999999996</v>
      </c>
      <c r="I8" s="754">
        <f t="shared" si="2"/>
        <v>43000</v>
      </c>
      <c r="J8" s="201"/>
      <c r="K8" s="201"/>
      <c r="L8" s="201"/>
      <c r="M8" s="751"/>
      <c r="N8" s="201"/>
      <c r="O8" s="201"/>
    </row>
    <row r="9" spans="1:16">
      <c r="A9">
        <v>240</v>
      </c>
      <c r="B9" t="s">
        <v>833</v>
      </c>
      <c r="C9" s="4">
        <v>9</v>
      </c>
      <c r="D9" s="288">
        <v>1461</v>
      </c>
      <c r="E9" s="752">
        <f t="shared" si="0"/>
        <v>1680.1499999999999</v>
      </c>
      <c r="F9" s="288">
        <v>2500</v>
      </c>
      <c r="H9" s="753">
        <f t="shared" si="1"/>
        <v>15121.349999999999</v>
      </c>
      <c r="I9" s="754">
        <f t="shared" si="2"/>
        <v>22500</v>
      </c>
      <c r="J9" s="201"/>
      <c r="K9" s="201"/>
      <c r="L9" s="201"/>
      <c r="M9" s="751"/>
      <c r="N9" s="201"/>
      <c r="O9" s="201"/>
    </row>
    <row r="10" spans="1:16">
      <c r="A10">
        <v>1100</v>
      </c>
      <c r="B10" t="s">
        <v>832</v>
      </c>
      <c r="C10" s="4">
        <v>3</v>
      </c>
      <c r="D10" s="288">
        <v>9823</v>
      </c>
      <c r="E10" s="752">
        <f t="shared" si="0"/>
        <v>11296.449999999999</v>
      </c>
      <c r="F10" s="288">
        <v>15000</v>
      </c>
      <c r="H10" s="753">
        <f t="shared" si="1"/>
        <v>33889.35</v>
      </c>
      <c r="I10" s="754">
        <f t="shared" si="2"/>
        <v>45000</v>
      </c>
      <c r="J10" s="201"/>
      <c r="K10" s="201"/>
      <c r="L10" s="201"/>
      <c r="M10" s="751"/>
      <c r="N10" s="201"/>
      <c r="O10" s="201"/>
    </row>
    <row r="11" spans="1:16">
      <c r="A11">
        <v>1100</v>
      </c>
      <c r="B11" t="s">
        <v>833</v>
      </c>
      <c r="C11" s="4">
        <v>0</v>
      </c>
      <c r="D11" s="288">
        <v>5765</v>
      </c>
      <c r="E11" s="752">
        <f t="shared" si="0"/>
        <v>6629.7499999999991</v>
      </c>
      <c r="F11" s="288">
        <v>8800</v>
      </c>
      <c r="H11" s="753">
        <f t="shared" si="1"/>
        <v>0</v>
      </c>
      <c r="I11" s="754">
        <f t="shared" si="2"/>
        <v>0</v>
      </c>
      <c r="J11" s="201"/>
      <c r="K11" s="201"/>
      <c r="L11" s="201"/>
      <c r="M11" s="751"/>
      <c r="N11" s="201"/>
      <c r="O11" s="201"/>
    </row>
    <row r="12" spans="1:16">
      <c r="C12" s="213">
        <f>SUM(C4:C11)</f>
        <v>671</v>
      </c>
      <c r="D12" s="288"/>
      <c r="E12" s="752"/>
      <c r="F12" s="288"/>
      <c r="H12" s="755">
        <f>SUM(H2:H11)</f>
        <v>998139.04999999981</v>
      </c>
      <c r="I12" s="577">
        <f>SUM(I2:I11)</f>
        <v>1347600</v>
      </c>
      <c r="K12" s="201"/>
      <c r="L12" s="201"/>
      <c r="M12" s="751"/>
      <c r="N12" s="201"/>
      <c r="O12" s="201"/>
    </row>
    <row r="13" spans="1:16">
      <c r="A13" s="123" t="s">
        <v>834</v>
      </c>
      <c r="C13" s="4">
        <v>72</v>
      </c>
      <c r="D13" s="288">
        <v>478</v>
      </c>
      <c r="E13" s="752">
        <f t="shared" si="0"/>
        <v>549.69999999999993</v>
      </c>
      <c r="F13" s="288">
        <v>600</v>
      </c>
      <c r="H13" s="753">
        <f t="shared" si="1"/>
        <v>39578.399999999994</v>
      </c>
      <c r="I13" s="754">
        <f t="shared" si="2"/>
        <v>43200</v>
      </c>
      <c r="K13" s="201"/>
      <c r="L13" s="201"/>
      <c r="M13" s="751"/>
      <c r="N13" s="201"/>
      <c r="O13" s="201"/>
      <c r="P13" s="201"/>
    </row>
    <row r="14" spans="1:16">
      <c r="A14" s="123" t="s">
        <v>835</v>
      </c>
      <c r="C14" s="4">
        <v>157</v>
      </c>
      <c r="D14" s="288">
        <v>681</v>
      </c>
      <c r="E14" s="752">
        <f t="shared" si="0"/>
        <v>783.15</v>
      </c>
      <c r="F14" s="288">
        <v>900</v>
      </c>
      <c r="H14" s="753">
        <f t="shared" si="1"/>
        <v>122954.55</v>
      </c>
      <c r="I14" s="754">
        <f t="shared" si="2"/>
        <v>141300</v>
      </c>
      <c r="K14" s="201"/>
      <c r="L14" s="201"/>
      <c r="M14" s="201"/>
      <c r="N14" s="201"/>
      <c r="O14" s="201"/>
    </row>
    <row r="15" spans="1:16">
      <c r="H15" s="755">
        <f>SUM(H13:H14)</f>
        <v>162532.95000000001</v>
      </c>
      <c r="I15" s="577">
        <f>SUM(I13:I14)</f>
        <v>184500</v>
      </c>
    </row>
    <row r="16" spans="1:16">
      <c r="A16" t="s">
        <v>836</v>
      </c>
      <c r="H16" s="753"/>
    </row>
    <row r="17" spans="1:16" ht="13.5" customHeight="1">
      <c r="A17" t="s">
        <v>837</v>
      </c>
      <c r="B17" t="s">
        <v>832</v>
      </c>
      <c r="C17" s="4">
        <v>12</v>
      </c>
      <c r="D17" s="288">
        <v>10588</v>
      </c>
      <c r="E17" s="752">
        <f t="shared" ref="E17:E22" si="3">D17*1.15</f>
        <v>12176.199999999999</v>
      </c>
      <c r="H17" s="753">
        <f t="shared" si="1"/>
        <v>146114.4</v>
      </c>
      <c r="I17" s="344"/>
      <c r="J17" s="201"/>
      <c r="K17" s="201"/>
      <c r="L17" s="201"/>
      <c r="M17" s="751"/>
      <c r="N17" s="201"/>
      <c r="O17" s="201"/>
    </row>
    <row r="18" spans="1:16">
      <c r="A18" t="s">
        <v>838</v>
      </c>
      <c r="B18" t="s">
        <v>839</v>
      </c>
      <c r="C18" s="4">
        <v>6</v>
      </c>
      <c r="D18" s="288">
        <v>4260</v>
      </c>
      <c r="E18" s="752">
        <f t="shared" si="3"/>
        <v>4899</v>
      </c>
      <c r="H18" s="753">
        <f t="shared" si="1"/>
        <v>29394</v>
      </c>
      <c r="I18" s="344"/>
      <c r="J18" s="201"/>
      <c r="K18" s="201"/>
      <c r="L18" s="201"/>
      <c r="M18" s="751"/>
      <c r="N18" s="201"/>
      <c r="O18" s="201"/>
    </row>
    <row r="19" spans="1:16">
      <c r="A19" t="s">
        <v>838</v>
      </c>
      <c r="B19" t="s">
        <v>840</v>
      </c>
      <c r="C19" s="4">
        <v>1</v>
      </c>
      <c r="D19" s="288">
        <v>5720</v>
      </c>
      <c r="E19" s="752">
        <f t="shared" si="3"/>
        <v>6577.9999999999991</v>
      </c>
      <c r="H19" s="753">
        <f t="shared" si="1"/>
        <v>6577.9999999999991</v>
      </c>
      <c r="I19" s="344"/>
      <c r="J19" s="201"/>
      <c r="K19" s="201"/>
      <c r="L19" s="201"/>
      <c r="M19" s="751"/>
      <c r="N19" s="201"/>
      <c r="O19" s="201"/>
    </row>
    <row r="20" spans="1:16">
      <c r="A20" t="s">
        <v>841</v>
      </c>
      <c r="B20" t="s">
        <v>839</v>
      </c>
      <c r="C20" s="4">
        <v>7</v>
      </c>
      <c r="D20" s="288">
        <v>1791</v>
      </c>
      <c r="E20" s="752">
        <f t="shared" si="3"/>
        <v>2059.6499999999996</v>
      </c>
      <c r="H20" s="753">
        <f t="shared" si="1"/>
        <v>14417.549999999997</v>
      </c>
      <c r="I20" s="344"/>
      <c r="J20" s="201"/>
      <c r="K20" s="201"/>
      <c r="L20" s="201"/>
      <c r="M20" s="751"/>
      <c r="N20" s="201"/>
      <c r="O20" s="201"/>
    </row>
    <row r="21" spans="1:16">
      <c r="A21" t="s">
        <v>842</v>
      </c>
      <c r="B21" t="s">
        <v>832</v>
      </c>
      <c r="C21" s="4">
        <v>0</v>
      </c>
      <c r="D21" s="288">
        <v>13402</v>
      </c>
      <c r="E21" s="752">
        <f t="shared" si="3"/>
        <v>15412.3</v>
      </c>
      <c r="H21" s="753">
        <f t="shared" si="1"/>
        <v>0</v>
      </c>
      <c r="I21" s="344"/>
      <c r="J21" s="201"/>
      <c r="K21" s="201"/>
      <c r="L21" s="201"/>
      <c r="M21" s="751"/>
      <c r="N21" s="201"/>
      <c r="O21" s="201"/>
    </row>
    <row r="22" spans="1:16">
      <c r="A22" t="s">
        <v>842</v>
      </c>
      <c r="B22" t="s">
        <v>843</v>
      </c>
      <c r="C22" s="4">
        <v>11</v>
      </c>
      <c r="D22" s="288">
        <v>20280</v>
      </c>
      <c r="E22" s="752">
        <f t="shared" si="3"/>
        <v>23322</v>
      </c>
      <c r="H22" s="753">
        <f t="shared" si="1"/>
        <v>256542</v>
      </c>
    </row>
    <row r="23" spans="1:16">
      <c r="D23" s="288"/>
      <c r="E23" s="752"/>
      <c r="H23" s="755">
        <f>SUM(H17:H22)</f>
        <v>453045.94999999995</v>
      </c>
    </row>
    <row r="24" spans="1:16">
      <c r="D24" s="288"/>
      <c r="E24" s="752"/>
      <c r="F24" t="s">
        <v>844</v>
      </c>
      <c r="H24" s="754">
        <v>10000</v>
      </c>
      <c r="I24" s="754"/>
    </row>
    <row r="25" spans="1:16">
      <c r="D25" s="288"/>
      <c r="E25" s="752"/>
      <c r="F25" t="s">
        <v>845</v>
      </c>
      <c r="H25" s="754">
        <v>65000</v>
      </c>
      <c r="I25" s="754">
        <v>170000</v>
      </c>
      <c r="J25" t="s">
        <v>846</v>
      </c>
    </row>
    <row r="26" spans="1:16">
      <c r="F26" t="s">
        <v>847</v>
      </c>
      <c r="H26" s="754">
        <v>24000</v>
      </c>
      <c r="I26" s="754">
        <v>3000</v>
      </c>
      <c r="J26" s="201" t="s">
        <v>848</v>
      </c>
      <c r="K26" s="201"/>
      <c r="L26" s="201"/>
      <c r="M26" s="751"/>
      <c r="N26" s="201"/>
      <c r="O26" s="201"/>
    </row>
    <row r="27" spans="1:16">
      <c r="H27" s="755">
        <f>H12+H15+H23+H24+H25+H26</f>
        <v>1712717.9499999997</v>
      </c>
      <c r="I27" s="755">
        <f>SUM(I15:I26)+I12</f>
        <v>1705100</v>
      </c>
      <c r="K27" s="201"/>
      <c r="L27" s="201"/>
      <c r="M27" s="751"/>
      <c r="N27" s="201"/>
      <c r="O27" s="201"/>
      <c r="P27" s="201"/>
    </row>
    <row r="28" spans="1:16">
      <c r="K28" s="201"/>
      <c r="L28" s="201"/>
      <c r="M28" s="201"/>
      <c r="N28" s="201"/>
      <c r="O28" s="201"/>
    </row>
    <row r="29" spans="1:16">
      <c r="K29" s="201"/>
      <c r="L29" s="201"/>
      <c r="M29" s="751"/>
      <c r="N29" s="201"/>
      <c r="O29" s="201"/>
    </row>
    <row r="32" spans="1:16">
      <c r="L32" s="201"/>
      <c r="M32" s="201"/>
      <c r="N32" s="201"/>
      <c r="P32" s="201"/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116"/>
  <sheetViews>
    <sheetView topLeftCell="D21" zoomScale="75" workbookViewId="0">
      <pane ySplit="7" topLeftCell="A99" activePane="bottomLeft" state="frozen"/>
      <selection activeCell="A21" sqref="A21"/>
      <selection pane="bottomLeft" activeCell="O108" sqref="O108"/>
    </sheetView>
  </sheetViews>
  <sheetFormatPr baseColWidth="10" defaultColWidth="8.83203125" defaultRowHeight="13"/>
  <cols>
    <col min="1" max="1" width="13.1640625" customWidth="1"/>
    <col min="2" max="2" width="14.5" bestFit="1" customWidth="1"/>
    <col min="3" max="3" width="17.6640625" bestFit="1" customWidth="1"/>
    <col min="4" max="4" width="15.5" style="4" bestFit="1" customWidth="1"/>
    <col min="5" max="5" width="11.6640625" style="4" bestFit="1" customWidth="1"/>
    <col min="6" max="6" width="14.5" bestFit="1" customWidth="1"/>
    <col min="7" max="7" width="17.1640625" bestFit="1" customWidth="1"/>
    <col min="8" max="8" width="12.1640625" bestFit="1" customWidth="1"/>
    <col min="9" max="9" width="15.5" bestFit="1" customWidth="1"/>
    <col min="10" max="10" width="12.6640625" bestFit="1" customWidth="1"/>
    <col min="11" max="11" width="18" bestFit="1" customWidth="1"/>
    <col min="12" max="12" width="12" style="4" customWidth="1"/>
    <col min="13" max="13" width="14.5" customWidth="1"/>
    <col min="14" max="14" width="11.5" bestFit="1" customWidth="1"/>
    <col min="15" max="15" width="13.83203125" customWidth="1"/>
    <col min="16" max="16" width="11.33203125" hidden="1" customWidth="1"/>
    <col min="17" max="17" width="15.1640625" customWidth="1"/>
    <col min="18" max="18" width="13.5" bestFit="1" customWidth="1"/>
  </cols>
  <sheetData>
    <row r="1" spans="1:18" ht="18.75" customHeight="1">
      <c r="A1" s="267" t="s">
        <v>849</v>
      </c>
    </row>
    <row r="2" spans="1:18" ht="16.5" customHeight="1" thickBot="1">
      <c r="A2" s="105"/>
      <c r="I2" s="266" t="s">
        <v>850</v>
      </c>
      <c r="J2" s="271">
        <v>6293189.6299999999</v>
      </c>
    </row>
    <row r="3" spans="1:18">
      <c r="A3" s="1127" t="s">
        <v>851</v>
      </c>
      <c r="B3" s="1128"/>
      <c r="C3" s="272">
        <v>3961000</v>
      </c>
      <c r="D3" s="273" t="s">
        <v>852</v>
      </c>
      <c r="E3" s="273" t="s">
        <v>853</v>
      </c>
      <c r="F3" s="274" t="s">
        <v>854</v>
      </c>
      <c r="I3" s="103" t="s">
        <v>855</v>
      </c>
      <c r="J3" s="4" t="s">
        <v>856</v>
      </c>
      <c r="K3" s="4" t="s">
        <v>857</v>
      </c>
      <c r="L3" s="4" t="s">
        <v>858</v>
      </c>
      <c r="M3" t="s">
        <v>859</v>
      </c>
    </row>
    <row r="4" spans="1:18">
      <c r="A4" s="275">
        <v>40756</v>
      </c>
      <c r="B4" s="276">
        <v>41353</v>
      </c>
      <c r="C4" s="277">
        <v>7.7499999999999999E-2</v>
      </c>
      <c r="D4" s="278">
        <v>3.7999999999999999E-2</v>
      </c>
      <c r="E4" s="279">
        <f>B4-A4</f>
        <v>597</v>
      </c>
      <c r="F4" s="280">
        <f>$C$3*(C4+D4)*(E4/365)</f>
        <v>748287.16027397255</v>
      </c>
      <c r="I4" s="4" t="s">
        <v>860</v>
      </c>
      <c r="J4" s="345">
        <f>J2+43966.12+1000+200</f>
        <v>6338355.75</v>
      </c>
      <c r="K4" s="5" t="s">
        <v>861</v>
      </c>
      <c r="L4" s="5">
        <v>5020001257</v>
      </c>
      <c r="M4" s="5" t="s">
        <v>862</v>
      </c>
    </row>
    <row r="5" spans="1:18">
      <c r="D5" s="143"/>
      <c r="E5" s="143"/>
      <c r="F5" s="106"/>
      <c r="I5" s="4" t="s">
        <v>863</v>
      </c>
      <c r="J5" s="281">
        <f>F17</f>
        <v>2980162.3948301915</v>
      </c>
      <c r="K5" s="5" t="s">
        <v>864</v>
      </c>
      <c r="L5" s="5"/>
      <c r="M5" s="5"/>
    </row>
    <row r="6" spans="1:18">
      <c r="A6" t="s">
        <v>865</v>
      </c>
      <c r="D6" s="143"/>
      <c r="E6" s="143"/>
      <c r="F6" s="106">
        <v>337514</v>
      </c>
      <c r="G6" s="3"/>
      <c r="I6" s="213" t="s">
        <v>419</v>
      </c>
      <c r="J6" s="282">
        <f>SUM(J4:J5)</f>
        <v>9318518.1448301915</v>
      </c>
    </row>
    <row r="7" spans="1:18">
      <c r="D7" s="143"/>
      <c r="E7" s="143"/>
      <c r="G7" s="3"/>
    </row>
    <row r="8" spans="1:18" s="283" customFormat="1">
      <c r="A8" s="283" t="s">
        <v>3</v>
      </c>
      <c r="B8" s="283" t="s">
        <v>866</v>
      </c>
      <c r="C8" s="284"/>
      <c r="D8" s="253"/>
      <c r="E8" s="253"/>
      <c r="F8" s="285">
        <f>C3+F4+F6</f>
        <v>5046801.1602739729</v>
      </c>
      <c r="G8" s="122"/>
      <c r="I8" t="s">
        <v>867</v>
      </c>
      <c r="J8" s="150">
        <v>10000000</v>
      </c>
      <c r="K8" s="281" t="s">
        <v>868</v>
      </c>
      <c r="L8" s="724">
        <f>J8-J6</f>
        <v>681481.85516980849</v>
      </c>
    </row>
    <row r="10" spans="1:18">
      <c r="A10" s="108" t="s">
        <v>869</v>
      </c>
      <c r="B10" s="108" t="s">
        <v>870</v>
      </c>
      <c r="C10" s="108" t="s">
        <v>871</v>
      </c>
      <c r="D10" s="108" t="s">
        <v>872</v>
      </c>
    </row>
    <row r="11" spans="1:18">
      <c r="A11" s="108">
        <v>2138284113</v>
      </c>
      <c r="B11" s="286" t="s">
        <v>873</v>
      </c>
      <c r="C11" s="287">
        <v>1662486</v>
      </c>
      <c r="D11" s="108" t="s">
        <v>863</v>
      </c>
    </row>
    <row r="12" spans="1:18">
      <c r="A12" s="108">
        <v>107484375</v>
      </c>
      <c r="B12" s="286" t="s">
        <v>874</v>
      </c>
      <c r="C12" s="287">
        <v>337514</v>
      </c>
      <c r="D12" s="108" t="s">
        <v>875</v>
      </c>
    </row>
    <row r="13" spans="1:18">
      <c r="C13" s="288">
        <f>SUM(C11:C12)</f>
        <v>2000000</v>
      </c>
    </row>
    <row r="14" spans="1:18" ht="14" thickBot="1">
      <c r="M14" t="s">
        <v>876</v>
      </c>
      <c r="N14" s="4" t="s">
        <v>877</v>
      </c>
      <c r="O14" s="4" t="s">
        <v>878</v>
      </c>
      <c r="P14" t="s">
        <v>879</v>
      </c>
      <c r="Q14" t="s">
        <v>880</v>
      </c>
      <c r="R14" s="213" t="s">
        <v>881</v>
      </c>
    </row>
    <row r="15" spans="1:18" ht="14" thickBot="1">
      <c r="A15" s="1129" t="s">
        <v>851</v>
      </c>
      <c r="B15" s="1130"/>
      <c r="C15" s="289" t="s">
        <v>853</v>
      </c>
      <c r="D15" s="289" t="s">
        <v>882</v>
      </c>
      <c r="E15" s="290" t="s">
        <v>878</v>
      </c>
      <c r="F15" s="291">
        <v>0.11550000000000001</v>
      </c>
      <c r="G15" s="292" t="s">
        <v>883</v>
      </c>
      <c r="L15" s="4" t="s">
        <v>884</v>
      </c>
      <c r="M15" s="3">
        <v>10000000</v>
      </c>
      <c r="N15" s="4">
        <v>84</v>
      </c>
      <c r="O15" s="143">
        <v>2.5600000000000001E-2</v>
      </c>
      <c r="Q15" s="3">
        <f>-I112</f>
        <v>10908809</v>
      </c>
      <c r="R15" s="342">
        <f>Q15-M15</f>
        <v>908809</v>
      </c>
    </row>
    <row r="16" spans="1:18">
      <c r="A16" s="293">
        <v>41359</v>
      </c>
      <c r="B16" s="294">
        <v>41379</v>
      </c>
      <c r="C16" s="295">
        <f>B16-A16</f>
        <v>20</v>
      </c>
      <c r="D16" s="296">
        <f>F8-C13</f>
        <v>3046801.1602739729</v>
      </c>
      <c r="E16" s="296">
        <f>(D16*$F$15*C16)/365</f>
        <v>19282.495014336651</v>
      </c>
      <c r="F16" s="297">
        <f>D16+E16</f>
        <v>3066083.6552883093</v>
      </c>
      <c r="G16" s="157">
        <f>F16-100000</f>
        <v>2966083.6552883093</v>
      </c>
      <c r="I16" s="150">
        <v>100000</v>
      </c>
      <c r="L16" s="679" t="s">
        <v>885</v>
      </c>
      <c r="M16" s="3">
        <v>7000000</v>
      </c>
      <c r="N16" s="4">
        <v>175</v>
      </c>
      <c r="O16" s="143">
        <v>8.5000000000000006E-2</v>
      </c>
      <c r="P16" s="3">
        <v>70000</v>
      </c>
      <c r="Q16" s="3">
        <f>N16*P16</f>
        <v>12250000</v>
      </c>
      <c r="R16" s="343">
        <f>Q16-M16</f>
        <v>5250000</v>
      </c>
    </row>
    <row r="17" spans="1:18">
      <c r="A17" s="268">
        <f>B16</f>
        <v>41379</v>
      </c>
      <c r="B17" s="962">
        <v>41394</v>
      </c>
      <c r="C17" s="279">
        <f>B17-A17</f>
        <v>15</v>
      </c>
      <c r="D17" s="113">
        <f>G16</f>
        <v>2966083.6552883093</v>
      </c>
      <c r="E17" s="113">
        <f>(D17*$F$15*C17)/365</f>
        <v>14078.739541882182</v>
      </c>
      <c r="F17" s="298">
        <f>D17+E17</f>
        <v>2980162.3948301915</v>
      </c>
      <c r="G17" s="280"/>
      <c r="I17" s="150">
        <f>F17</f>
        <v>2980162.3948301915</v>
      </c>
      <c r="J17" t="s">
        <v>886</v>
      </c>
      <c r="L17" s="4" t="s">
        <v>887</v>
      </c>
      <c r="M17" s="3">
        <v>10000000</v>
      </c>
      <c r="N17" s="4">
        <v>72</v>
      </c>
      <c r="O17" s="143">
        <v>3.5999999999999997E-2</v>
      </c>
      <c r="P17" s="3"/>
      <c r="Q17" s="3">
        <v>11094000</v>
      </c>
      <c r="R17" s="342">
        <f>Q17-M17</f>
        <v>1094000</v>
      </c>
    </row>
    <row r="18" spans="1:18">
      <c r="I18" s="299">
        <f>SUM(I16:I17)</f>
        <v>3080162.3948301915</v>
      </c>
    </row>
    <row r="19" spans="1:18">
      <c r="Q19" s="3"/>
    </row>
    <row r="21" spans="1:18" ht="20">
      <c r="A21" s="1124" t="s">
        <v>888</v>
      </c>
      <c r="B21" s="1125"/>
      <c r="C21" s="1125"/>
      <c r="D21" s="1125"/>
      <c r="E21" s="1126"/>
      <c r="F21" s="1126"/>
      <c r="G21" s="1126"/>
      <c r="H21" s="1126"/>
      <c r="I21" s="1126"/>
    </row>
    <row r="22" spans="1:18" ht="14">
      <c r="A22" s="300"/>
      <c r="B22" s="300"/>
      <c r="C22" s="300"/>
      <c r="D22" s="300"/>
      <c r="E22" s="300"/>
      <c r="F22" s="300"/>
      <c r="M22" s="4" t="s">
        <v>889</v>
      </c>
    </row>
    <row r="23" spans="1:18" ht="14">
      <c r="A23" s="1122" t="s">
        <v>890</v>
      </c>
      <c r="B23" s="1123"/>
      <c r="C23" s="301">
        <v>10000000</v>
      </c>
      <c r="D23" s="300"/>
      <c r="E23" s="300"/>
      <c r="K23" s="762">
        <v>15000000</v>
      </c>
      <c r="L23" s="763">
        <v>5.3E-3</v>
      </c>
      <c r="M23" s="762">
        <v>406591</v>
      </c>
      <c r="N23" s="751"/>
    </row>
    <row r="24" spans="1:18" ht="14">
      <c r="A24" s="300"/>
      <c r="C24" s="300"/>
      <c r="D24" s="300"/>
      <c r="E24" s="300"/>
      <c r="F24" s="300"/>
      <c r="K24" s="201">
        <f>K23/10</f>
        <v>1500000</v>
      </c>
    </row>
    <row r="25" spans="1:18" ht="14">
      <c r="A25" s="1122" t="s">
        <v>891</v>
      </c>
      <c r="B25" s="1123"/>
      <c r="C25" s="302">
        <v>2.5600000000000001E-2</v>
      </c>
      <c r="D25" s="300"/>
      <c r="E25" s="300"/>
    </row>
    <row r="26" spans="1:18" ht="15" thickBot="1">
      <c r="A26" s="300"/>
      <c r="B26" s="300"/>
      <c r="C26" s="300"/>
      <c r="D26"/>
      <c r="E26"/>
      <c r="M26" s="213">
        <v>2017</v>
      </c>
      <c r="N26" s="213">
        <v>2018</v>
      </c>
      <c r="O26" s="213">
        <v>2019</v>
      </c>
      <c r="Q26" s="4" t="s">
        <v>892</v>
      </c>
    </row>
    <row r="27" spans="1:18" ht="35" thickBot="1">
      <c r="A27" s="303" t="s">
        <v>893</v>
      </c>
      <c r="B27" s="304" t="s">
        <v>894</v>
      </c>
      <c r="C27" s="304" t="s">
        <v>895</v>
      </c>
      <c r="D27" s="304" t="s">
        <v>896</v>
      </c>
      <c r="E27" s="304" t="s">
        <v>897</v>
      </c>
      <c r="F27" s="305" t="s">
        <v>898</v>
      </c>
      <c r="G27" s="306" t="s">
        <v>899</v>
      </c>
      <c r="H27" s="215" t="s">
        <v>900</v>
      </c>
      <c r="I27" s="307" t="s">
        <v>901</v>
      </c>
      <c r="L27" s="761" t="s">
        <v>902</v>
      </c>
      <c r="M27" s="963">
        <v>356000</v>
      </c>
      <c r="N27" s="963">
        <f>523304.35+288306.75</f>
        <v>811611.1</v>
      </c>
      <c r="O27" s="963">
        <v>13637484.74</v>
      </c>
      <c r="Q27" s="963">
        <f>SUM(M27:P27)</f>
        <v>14805095.84</v>
      </c>
      <c r="R27" s="963">
        <f>356000+523304.35+288306.75+13637484.74</f>
        <v>14805095.84</v>
      </c>
    </row>
    <row r="28" spans="1:18" ht="14">
      <c r="A28" s="308">
        <v>41365</v>
      </c>
      <c r="B28" s="309"/>
      <c r="C28" s="310">
        <v>10000000</v>
      </c>
      <c r="D28" s="309" t="s">
        <v>903</v>
      </c>
      <c r="E28" s="311">
        <v>711</v>
      </c>
      <c r="F28" s="312">
        <v>10000000</v>
      </c>
      <c r="G28" s="313"/>
      <c r="H28" s="314"/>
      <c r="I28" s="315"/>
    </row>
    <row r="29" spans="1:18" ht="14">
      <c r="A29" s="316">
        <v>41395</v>
      </c>
      <c r="B29" s="317">
        <f>F28</f>
        <v>10000000</v>
      </c>
      <c r="C29" s="318" t="s">
        <v>903</v>
      </c>
      <c r="D29" s="317">
        <v>-120482</v>
      </c>
      <c r="E29" s="317">
        <v>22036</v>
      </c>
      <c r="F29" s="319">
        <f>B29+D29</f>
        <v>9879518</v>
      </c>
      <c r="G29" s="148"/>
      <c r="I29" s="320"/>
    </row>
    <row r="30" spans="1:18" ht="14">
      <c r="A30" s="316">
        <v>41426</v>
      </c>
      <c r="B30" s="317">
        <f t="shared" ref="B30:B93" si="0">F29</f>
        <v>9879518</v>
      </c>
      <c r="C30" s="318" t="s">
        <v>903</v>
      </c>
      <c r="D30" s="317">
        <v>-120482</v>
      </c>
      <c r="E30" s="317">
        <v>21068</v>
      </c>
      <c r="F30" s="319">
        <f t="shared" ref="F30:F93" si="1">B30+D30</f>
        <v>9759036</v>
      </c>
      <c r="G30" s="148"/>
      <c r="I30" s="320"/>
    </row>
    <row r="31" spans="1:18" ht="14">
      <c r="A31" s="316">
        <v>41456</v>
      </c>
      <c r="B31" s="317">
        <f t="shared" si="0"/>
        <v>9759036</v>
      </c>
      <c r="C31" s="318" t="s">
        <v>903</v>
      </c>
      <c r="D31" s="317">
        <v>-120482</v>
      </c>
      <c r="E31" s="317">
        <v>21505</v>
      </c>
      <c r="F31" s="319">
        <f t="shared" si="1"/>
        <v>9638554</v>
      </c>
      <c r="G31" s="148"/>
      <c r="I31" s="320"/>
    </row>
    <row r="32" spans="1:18" ht="14">
      <c r="A32" s="316">
        <v>41487</v>
      </c>
      <c r="B32" s="317">
        <f t="shared" si="0"/>
        <v>9638554</v>
      </c>
      <c r="C32" s="318" t="s">
        <v>903</v>
      </c>
      <c r="D32" s="317">
        <v>-120482</v>
      </c>
      <c r="E32" s="317">
        <v>21239</v>
      </c>
      <c r="F32" s="319">
        <f t="shared" si="1"/>
        <v>9518072</v>
      </c>
      <c r="G32" s="148"/>
      <c r="I32" s="320"/>
      <c r="K32" s="201"/>
    </row>
    <row r="33" spans="1:15" ht="14">
      <c r="A33" s="316">
        <v>41518</v>
      </c>
      <c r="B33" s="317">
        <f t="shared" si="0"/>
        <v>9518072</v>
      </c>
      <c r="C33" s="318" t="s">
        <v>903</v>
      </c>
      <c r="D33" s="317">
        <v>-120482</v>
      </c>
      <c r="E33" s="317">
        <v>20297</v>
      </c>
      <c r="F33" s="319">
        <f t="shared" si="1"/>
        <v>9397590</v>
      </c>
      <c r="G33" s="148"/>
      <c r="I33" s="320"/>
    </row>
    <row r="34" spans="1:15" ht="14">
      <c r="A34" s="316">
        <v>41548</v>
      </c>
      <c r="B34" s="317">
        <f t="shared" si="0"/>
        <v>9397590</v>
      </c>
      <c r="C34" s="318" t="s">
        <v>903</v>
      </c>
      <c r="D34" s="317">
        <v>-120482</v>
      </c>
      <c r="E34" s="317">
        <v>20708</v>
      </c>
      <c r="F34" s="319">
        <f t="shared" si="1"/>
        <v>9277108</v>
      </c>
      <c r="G34" s="148"/>
      <c r="I34" s="320"/>
    </row>
    <row r="35" spans="1:15" ht="14">
      <c r="A35" s="316">
        <v>41579</v>
      </c>
      <c r="B35" s="317">
        <f t="shared" si="0"/>
        <v>9277108</v>
      </c>
      <c r="C35" s="318" t="s">
        <v>903</v>
      </c>
      <c r="D35" s="317">
        <v>-120482</v>
      </c>
      <c r="E35" s="317">
        <v>19783</v>
      </c>
      <c r="F35" s="319">
        <f t="shared" si="1"/>
        <v>9156626</v>
      </c>
      <c r="G35" s="148"/>
      <c r="I35" s="320"/>
    </row>
    <row r="36" spans="1:15" ht="15" thickBot="1">
      <c r="A36" s="321">
        <v>41609</v>
      </c>
      <c r="B36" s="322">
        <f t="shared" si="0"/>
        <v>9156626</v>
      </c>
      <c r="C36" s="323" t="s">
        <v>903</v>
      </c>
      <c r="D36" s="322">
        <v>-120482</v>
      </c>
      <c r="E36" s="322">
        <v>20177</v>
      </c>
      <c r="F36" s="324">
        <f t="shared" si="1"/>
        <v>9036144</v>
      </c>
      <c r="G36" s="325">
        <f>SUM(D29:D36)</f>
        <v>-963856</v>
      </c>
      <c r="H36" s="326">
        <f>SUM(E29:E36)</f>
        <v>166813</v>
      </c>
      <c r="I36" s="327">
        <f>G36-H36</f>
        <v>-1130669</v>
      </c>
      <c r="M36" s="201"/>
    </row>
    <row r="37" spans="1:15" ht="14">
      <c r="A37" s="308">
        <v>41640</v>
      </c>
      <c r="B37" s="311">
        <f t="shared" si="0"/>
        <v>9036144</v>
      </c>
      <c r="C37" s="309" t="s">
        <v>903</v>
      </c>
      <c r="D37" s="311">
        <v>-120482</v>
      </c>
      <c r="E37" s="311">
        <v>19911</v>
      </c>
      <c r="F37" s="312">
        <f t="shared" si="1"/>
        <v>8915662</v>
      </c>
      <c r="G37" s="313"/>
      <c r="H37" s="314"/>
      <c r="I37" s="315"/>
    </row>
    <row r="38" spans="1:15" ht="14">
      <c r="A38" s="316">
        <v>41671</v>
      </c>
      <c r="B38" s="317">
        <f t="shared" si="0"/>
        <v>8915662</v>
      </c>
      <c r="C38" s="318" t="s">
        <v>903</v>
      </c>
      <c r="D38" s="317">
        <v>-120482</v>
      </c>
      <c r="E38" s="317">
        <v>17744</v>
      </c>
      <c r="F38" s="319">
        <f t="shared" si="1"/>
        <v>8795180</v>
      </c>
      <c r="G38" s="148"/>
      <c r="I38" s="320"/>
    </row>
    <row r="39" spans="1:15" ht="14">
      <c r="A39" s="316">
        <v>41699</v>
      </c>
      <c r="B39" s="317">
        <f t="shared" si="0"/>
        <v>8795180</v>
      </c>
      <c r="C39" s="318" t="s">
        <v>903</v>
      </c>
      <c r="D39" s="317">
        <v>-120482</v>
      </c>
      <c r="E39" s="317">
        <v>19380</v>
      </c>
      <c r="F39" s="319">
        <f t="shared" si="1"/>
        <v>8674698</v>
      </c>
      <c r="G39" s="148"/>
      <c r="I39" s="320"/>
    </row>
    <row r="40" spans="1:15" ht="14">
      <c r="A40" s="316">
        <v>41730</v>
      </c>
      <c r="B40" s="317">
        <f t="shared" si="0"/>
        <v>8674698</v>
      </c>
      <c r="C40" s="318" t="s">
        <v>903</v>
      </c>
      <c r="D40" s="317">
        <v>-120482</v>
      </c>
      <c r="E40" s="317">
        <v>18497</v>
      </c>
      <c r="F40" s="319">
        <f t="shared" si="1"/>
        <v>8554216</v>
      </c>
      <c r="G40" s="148"/>
      <c r="I40" s="320"/>
      <c r="M40" t="s">
        <v>904</v>
      </c>
      <c r="N40" s="4" t="s">
        <v>905</v>
      </c>
    </row>
    <row r="41" spans="1:15" ht="14">
      <c r="A41" s="316">
        <v>41760</v>
      </c>
      <c r="B41" s="317">
        <f t="shared" si="0"/>
        <v>8554216</v>
      </c>
      <c r="C41" s="318" t="s">
        <v>903</v>
      </c>
      <c r="D41" s="317">
        <v>-120482</v>
      </c>
      <c r="E41" s="317">
        <v>18849</v>
      </c>
      <c r="F41" s="319">
        <f t="shared" si="1"/>
        <v>8433734</v>
      </c>
      <c r="G41" s="148"/>
      <c r="I41" s="320"/>
      <c r="M41" s="760">
        <v>77</v>
      </c>
      <c r="N41" s="4" t="s">
        <v>8</v>
      </c>
      <c r="O41" s="359"/>
    </row>
    <row r="42" spans="1:15" ht="14">
      <c r="A42" s="316">
        <v>41791</v>
      </c>
      <c r="B42" s="317">
        <f t="shared" si="0"/>
        <v>8433734</v>
      </c>
      <c r="C42" s="318" t="s">
        <v>903</v>
      </c>
      <c r="D42" s="317">
        <v>-120482</v>
      </c>
      <c r="E42" s="317">
        <v>17983</v>
      </c>
      <c r="F42" s="319">
        <f t="shared" si="1"/>
        <v>8313252</v>
      </c>
      <c r="G42" s="148"/>
      <c r="I42" s="320"/>
      <c r="K42" s="201">
        <f>SUM(B37:B48)/12</f>
        <v>8373493</v>
      </c>
      <c r="L42" s="143">
        <f>H48/K42</f>
        <v>2.5933621727515625E-2</v>
      </c>
      <c r="M42" s="4">
        <f t="shared" ref="M42:M50" si="2">M41-8</f>
        <v>69</v>
      </c>
      <c r="N42" s="4" t="s">
        <v>10</v>
      </c>
    </row>
    <row r="43" spans="1:15" ht="14">
      <c r="A43" s="316">
        <v>41821</v>
      </c>
      <c r="B43" s="317">
        <f t="shared" si="0"/>
        <v>8313252</v>
      </c>
      <c r="C43" s="318" t="s">
        <v>903</v>
      </c>
      <c r="D43" s="317">
        <v>-120482</v>
      </c>
      <c r="E43" s="317">
        <v>18318</v>
      </c>
      <c r="F43" s="319">
        <f t="shared" si="1"/>
        <v>8192770</v>
      </c>
      <c r="G43" s="148"/>
      <c r="I43" s="320"/>
      <c r="M43" s="4">
        <f t="shared" si="2"/>
        <v>61</v>
      </c>
      <c r="N43" s="4" t="s">
        <v>12</v>
      </c>
      <c r="O43" s="103"/>
    </row>
    <row r="44" spans="1:15" ht="14">
      <c r="A44" s="316">
        <v>41852</v>
      </c>
      <c r="B44" s="317">
        <f t="shared" si="0"/>
        <v>8192770</v>
      </c>
      <c r="C44" s="318" t="s">
        <v>903</v>
      </c>
      <c r="D44" s="317">
        <v>-120482</v>
      </c>
      <c r="E44" s="317">
        <v>18052</v>
      </c>
      <c r="F44" s="319">
        <f t="shared" si="1"/>
        <v>8072288</v>
      </c>
      <c r="G44" s="148"/>
      <c r="I44" s="320"/>
      <c r="M44" s="4">
        <f t="shared" si="2"/>
        <v>53</v>
      </c>
      <c r="N44" s="4" t="s">
        <v>14</v>
      </c>
    </row>
    <row r="45" spans="1:15" ht="14">
      <c r="A45" s="316">
        <v>41883</v>
      </c>
      <c r="B45" s="317">
        <f t="shared" si="0"/>
        <v>8072288</v>
      </c>
      <c r="C45" s="318" t="s">
        <v>903</v>
      </c>
      <c r="D45" s="317">
        <v>-120482</v>
      </c>
      <c r="E45" s="317">
        <v>17212</v>
      </c>
      <c r="F45" s="319">
        <f t="shared" si="1"/>
        <v>7951806</v>
      </c>
      <c r="G45" s="148"/>
      <c r="I45" s="320"/>
      <c r="M45" s="4">
        <f t="shared" si="2"/>
        <v>45</v>
      </c>
      <c r="N45" s="4" t="s">
        <v>16</v>
      </c>
    </row>
    <row r="46" spans="1:15" ht="14">
      <c r="A46" s="316">
        <v>41913</v>
      </c>
      <c r="B46" s="317">
        <f t="shared" si="0"/>
        <v>7951806</v>
      </c>
      <c r="C46" s="318" t="s">
        <v>903</v>
      </c>
      <c r="D46" s="317">
        <v>-120482</v>
      </c>
      <c r="E46" s="317">
        <v>17521</v>
      </c>
      <c r="F46" s="319">
        <f t="shared" si="1"/>
        <v>7831324</v>
      </c>
      <c r="G46" s="148"/>
      <c r="I46" s="320"/>
      <c r="M46" s="4">
        <f t="shared" si="2"/>
        <v>37</v>
      </c>
      <c r="N46" s="4" t="s">
        <v>18</v>
      </c>
      <c r="O46" s="103"/>
    </row>
    <row r="47" spans="1:15" ht="14">
      <c r="A47" s="316">
        <v>41944</v>
      </c>
      <c r="B47" s="317">
        <f t="shared" si="0"/>
        <v>7831324</v>
      </c>
      <c r="C47" s="318" t="s">
        <v>903</v>
      </c>
      <c r="D47" s="317">
        <v>-120482</v>
      </c>
      <c r="E47" s="317">
        <v>16698</v>
      </c>
      <c r="F47" s="319">
        <f t="shared" si="1"/>
        <v>7710842</v>
      </c>
      <c r="G47" s="148"/>
      <c r="I47" s="320"/>
      <c r="M47" s="4">
        <f t="shared" si="2"/>
        <v>29</v>
      </c>
      <c r="N47" s="4" t="s">
        <v>20</v>
      </c>
    </row>
    <row r="48" spans="1:15" ht="15" thickBot="1">
      <c r="A48" s="321">
        <v>41974</v>
      </c>
      <c r="B48" s="322">
        <f t="shared" si="0"/>
        <v>7710842</v>
      </c>
      <c r="C48" s="323" t="s">
        <v>903</v>
      </c>
      <c r="D48" s="322">
        <v>-120482</v>
      </c>
      <c r="E48" s="322">
        <v>16990</v>
      </c>
      <c r="F48" s="324">
        <f t="shared" si="1"/>
        <v>7590360</v>
      </c>
      <c r="G48" s="325">
        <f>SUM(D37:D48)</f>
        <v>-1445784</v>
      </c>
      <c r="H48" s="326">
        <f>SUM(E37:E48)</f>
        <v>217155</v>
      </c>
      <c r="I48" s="327">
        <f>G48-H48</f>
        <v>-1662939</v>
      </c>
      <c r="M48" s="4">
        <f t="shared" si="2"/>
        <v>21</v>
      </c>
      <c r="N48" s="4" t="s">
        <v>22</v>
      </c>
    </row>
    <row r="49" spans="1:15" ht="14">
      <c r="A49" s="308">
        <v>42005</v>
      </c>
      <c r="B49" s="311">
        <f t="shared" si="0"/>
        <v>7590360</v>
      </c>
      <c r="C49" s="309" t="s">
        <v>903</v>
      </c>
      <c r="D49" s="311">
        <v>-120482</v>
      </c>
      <c r="E49" s="311">
        <v>16724</v>
      </c>
      <c r="F49" s="312">
        <f t="shared" si="1"/>
        <v>7469878</v>
      </c>
      <c r="G49" s="313"/>
      <c r="H49" s="314"/>
      <c r="I49" s="315"/>
      <c r="M49" s="4">
        <f t="shared" si="2"/>
        <v>13</v>
      </c>
      <c r="N49" s="4" t="s">
        <v>24</v>
      </c>
      <c r="O49" s="266"/>
    </row>
    <row r="50" spans="1:15" ht="14">
      <c r="A50" s="316">
        <v>42036</v>
      </c>
      <c r="B50" s="317">
        <f t="shared" si="0"/>
        <v>7469878</v>
      </c>
      <c r="C50" s="318" t="s">
        <v>903</v>
      </c>
      <c r="D50" s="317">
        <v>-120482</v>
      </c>
      <c r="E50" s="317">
        <v>14865</v>
      </c>
      <c r="F50" s="319">
        <f t="shared" si="1"/>
        <v>7349396</v>
      </c>
      <c r="G50" s="148"/>
      <c r="I50" s="320"/>
      <c r="M50" s="4">
        <f t="shared" si="2"/>
        <v>5</v>
      </c>
      <c r="N50" s="4" t="s">
        <v>26</v>
      </c>
    </row>
    <row r="51" spans="1:15" ht="14">
      <c r="A51" s="316">
        <v>42064</v>
      </c>
      <c r="B51" s="317">
        <f t="shared" si="0"/>
        <v>7349396</v>
      </c>
      <c r="C51" s="318" t="s">
        <v>903</v>
      </c>
      <c r="D51" s="317">
        <v>-120482</v>
      </c>
      <c r="E51" s="317">
        <v>16193</v>
      </c>
      <c r="F51" s="319">
        <f t="shared" si="1"/>
        <v>7228914</v>
      </c>
      <c r="G51" s="148"/>
      <c r="I51" s="320"/>
      <c r="M51" s="4">
        <f>SUM(M41:M50)</f>
        <v>410</v>
      </c>
    </row>
    <row r="52" spans="1:15" ht="14">
      <c r="A52" s="316">
        <v>42095</v>
      </c>
      <c r="B52" s="317">
        <f t="shared" si="0"/>
        <v>7228914</v>
      </c>
      <c r="C52" s="318" t="s">
        <v>903</v>
      </c>
      <c r="D52" s="317">
        <v>-120482</v>
      </c>
      <c r="E52" s="317">
        <v>15413</v>
      </c>
      <c r="F52" s="319">
        <f t="shared" si="1"/>
        <v>7108432</v>
      </c>
      <c r="G52" s="148"/>
      <c r="I52" s="320"/>
    </row>
    <row r="53" spans="1:15" ht="14">
      <c r="A53" s="316">
        <v>42125</v>
      </c>
      <c r="B53" s="317">
        <f t="shared" si="0"/>
        <v>7108432</v>
      </c>
      <c r="C53" s="318" t="s">
        <v>903</v>
      </c>
      <c r="D53" s="317">
        <v>-120482</v>
      </c>
      <c r="E53" s="317">
        <v>15662</v>
      </c>
      <c r="F53" s="319">
        <f t="shared" si="1"/>
        <v>6987950</v>
      </c>
      <c r="G53" s="148"/>
      <c r="I53" s="320"/>
    </row>
    <row r="54" spans="1:15" ht="14">
      <c r="A54" s="316">
        <v>42156</v>
      </c>
      <c r="B54" s="317">
        <f t="shared" si="0"/>
        <v>6987950</v>
      </c>
      <c r="C54" s="318" t="s">
        <v>903</v>
      </c>
      <c r="D54" s="317">
        <v>-120482</v>
      </c>
      <c r="E54" s="317">
        <v>14899</v>
      </c>
      <c r="F54" s="319">
        <f t="shared" si="1"/>
        <v>6867468</v>
      </c>
      <c r="G54" s="148"/>
      <c r="I54" s="320"/>
      <c r="K54" s="201">
        <f>SUM(B49:B60)/12</f>
        <v>6927709</v>
      </c>
      <c r="L54" s="143">
        <f>H60/K54</f>
        <v>2.5929062551559252E-2</v>
      </c>
    </row>
    <row r="55" spans="1:15" ht="14">
      <c r="A55" s="316">
        <v>42186</v>
      </c>
      <c r="B55" s="317">
        <f t="shared" si="0"/>
        <v>6867468</v>
      </c>
      <c r="C55" s="318" t="s">
        <v>903</v>
      </c>
      <c r="D55" s="317">
        <v>-120482</v>
      </c>
      <c r="E55" s="317">
        <v>15130</v>
      </c>
      <c r="F55" s="319">
        <f t="shared" si="1"/>
        <v>6746986</v>
      </c>
      <c r="G55" s="148"/>
      <c r="I55" s="320"/>
    </row>
    <row r="56" spans="1:15" ht="14">
      <c r="A56" s="316">
        <v>42217</v>
      </c>
      <c r="B56" s="317">
        <f t="shared" si="0"/>
        <v>6746986</v>
      </c>
      <c r="C56" s="318" t="s">
        <v>903</v>
      </c>
      <c r="D56" s="317">
        <v>-120482</v>
      </c>
      <c r="E56" s="317">
        <v>14865</v>
      </c>
      <c r="F56" s="319">
        <f t="shared" si="1"/>
        <v>6626504</v>
      </c>
      <c r="G56" s="148"/>
      <c r="I56" s="320"/>
    </row>
    <row r="57" spans="1:15" ht="14">
      <c r="A57" s="316">
        <v>42248</v>
      </c>
      <c r="B57" s="317">
        <f t="shared" si="0"/>
        <v>6626504</v>
      </c>
      <c r="C57" s="318" t="s">
        <v>903</v>
      </c>
      <c r="D57" s="317">
        <v>-120482</v>
      </c>
      <c r="E57" s="317">
        <v>14128</v>
      </c>
      <c r="F57" s="319">
        <f t="shared" si="1"/>
        <v>6506022</v>
      </c>
      <c r="G57" s="148"/>
      <c r="I57" s="320"/>
    </row>
    <row r="58" spans="1:15" ht="14">
      <c r="A58" s="316">
        <v>42278</v>
      </c>
      <c r="B58" s="317">
        <f t="shared" si="0"/>
        <v>6506022</v>
      </c>
      <c r="C58" s="318" t="s">
        <v>903</v>
      </c>
      <c r="D58" s="317">
        <v>-120482</v>
      </c>
      <c r="E58" s="317">
        <v>14334</v>
      </c>
      <c r="F58" s="319">
        <f t="shared" si="1"/>
        <v>6385540</v>
      </c>
      <c r="G58" s="148"/>
      <c r="I58" s="320"/>
    </row>
    <row r="59" spans="1:15" ht="14">
      <c r="A59" s="316">
        <v>42309</v>
      </c>
      <c r="B59" s="317">
        <f t="shared" si="0"/>
        <v>6385540</v>
      </c>
      <c r="C59" s="318" t="s">
        <v>903</v>
      </c>
      <c r="D59" s="317">
        <v>-120482</v>
      </c>
      <c r="E59" s="317">
        <v>13614</v>
      </c>
      <c r="F59" s="319">
        <f t="shared" si="1"/>
        <v>6265058</v>
      </c>
      <c r="G59" s="148"/>
      <c r="I59" s="320"/>
    </row>
    <row r="60" spans="1:15" ht="15" thickBot="1">
      <c r="A60" s="321">
        <v>42339</v>
      </c>
      <c r="B60" s="322">
        <f t="shared" si="0"/>
        <v>6265058</v>
      </c>
      <c r="C60" s="323" t="s">
        <v>903</v>
      </c>
      <c r="D60" s="322">
        <v>-120482</v>
      </c>
      <c r="E60" s="322">
        <v>13802</v>
      </c>
      <c r="F60" s="324">
        <f t="shared" si="1"/>
        <v>6144576</v>
      </c>
      <c r="G60" s="325">
        <f>SUM(D49:D60)</f>
        <v>-1445784</v>
      </c>
      <c r="H60" s="326">
        <f>SUM(E49:E60)</f>
        <v>179629</v>
      </c>
      <c r="I60" s="327">
        <f>G60-H60</f>
        <v>-1625413</v>
      </c>
      <c r="M60" s="201"/>
    </row>
    <row r="61" spans="1:15" ht="14">
      <c r="A61" s="308">
        <v>42370</v>
      </c>
      <c r="B61" s="311">
        <f t="shared" si="0"/>
        <v>6144576</v>
      </c>
      <c r="C61" s="309" t="s">
        <v>903</v>
      </c>
      <c r="D61" s="311">
        <v>-120482</v>
      </c>
      <c r="E61" s="311">
        <v>13537</v>
      </c>
      <c r="F61" s="312">
        <f t="shared" si="1"/>
        <v>6024094</v>
      </c>
      <c r="G61" s="148"/>
      <c r="I61" s="320"/>
    </row>
    <row r="62" spans="1:15" ht="14">
      <c r="A62" s="316">
        <v>42401</v>
      </c>
      <c r="B62" s="317">
        <f t="shared" si="0"/>
        <v>6024094</v>
      </c>
      <c r="C62" s="318" t="s">
        <v>903</v>
      </c>
      <c r="D62" s="317">
        <v>-120482</v>
      </c>
      <c r="E62" s="317">
        <v>12414</v>
      </c>
      <c r="F62" s="319">
        <f t="shared" si="1"/>
        <v>5903612</v>
      </c>
      <c r="G62" s="148"/>
      <c r="I62" s="320"/>
    </row>
    <row r="63" spans="1:15" ht="14">
      <c r="A63" s="316">
        <v>42430</v>
      </c>
      <c r="B63" s="317">
        <f t="shared" si="0"/>
        <v>5903612</v>
      </c>
      <c r="C63" s="318" t="s">
        <v>903</v>
      </c>
      <c r="D63" s="317">
        <v>-120482</v>
      </c>
      <c r="E63" s="317">
        <v>13006</v>
      </c>
      <c r="F63" s="319">
        <f t="shared" si="1"/>
        <v>5783130</v>
      </c>
      <c r="G63" s="148"/>
      <c r="I63" s="320"/>
    </row>
    <row r="64" spans="1:15" ht="14">
      <c r="A64" s="316">
        <v>42461</v>
      </c>
      <c r="B64" s="317">
        <f t="shared" si="0"/>
        <v>5783130</v>
      </c>
      <c r="C64" s="318" t="s">
        <v>903</v>
      </c>
      <c r="D64" s="317">
        <v>-120482</v>
      </c>
      <c r="E64" s="317">
        <v>12329</v>
      </c>
      <c r="F64" s="319">
        <f t="shared" si="1"/>
        <v>5662648</v>
      </c>
      <c r="G64" s="148"/>
      <c r="I64" s="320"/>
    </row>
    <row r="65" spans="1:12" ht="14">
      <c r="A65" s="316">
        <v>42491</v>
      </c>
      <c r="B65" s="317">
        <f t="shared" si="0"/>
        <v>5662648</v>
      </c>
      <c r="C65" s="318" t="s">
        <v>903</v>
      </c>
      <c r="D65" s="317">
        <v>-120482</v>
      </c>
      <c r="E65" s="317">
        <v>12474</v>
      </c>
      <c r="F65" s="319">
        <f t="shared" si="1"/>
        <v>5542166</v>
      </c>
      <c r="G65" s="148"/>
      <c r="I65" s="320"/>
    </row>
    <row r="66" spans="1:12" ht="14">
      <c r="A66" s="316">
        <v>42522</v>
      </c>
      <c r="B66" s="317">
        <f t="shared" si="0"/>
        <v>5542166</v>
      </c>
      <c r="C66" s="318" t="s">
        <v>903</v>
      </c>
      <c r="D66" s="317">
        <v>-120482</v>
      </c>
      <c r="E66" s="317">
        <v>11815</v>
      </c>
      <c r="F66" s="319">
        <f t="shared" si="1"/>
        <v>5421684</v>
      </c>
      <c r="G66" s="148"/>
      <c r="I66" s="320"/>
      <c r="K66" s="201">
        <f>SUM(B61:B72)/12</f>
        <v>5481925</v>
      </c>
      <c r="L66" s="143">
        <f>H72/K66</f>
        <v>2.6000173296788994E-2</v>
      </c>
    </row>
    <row r="67" spans="1:12" ht="14">
      <c r="A67" s="316">
        <v>42552</v>
      </c>
      <c r="B67" s="317">
        <f t="shared" si="0"/>
        <v>5421684</v>
      </c>
      <c r="C67" s="318" t="s">
        <v>903</v>
      </c>
      <c r="D67" s="317">
        <v>-120482</v>
      </c>
      <c r="E67" s="317">
        <v>11943</v>
      </c>
      <c r="F67" s="319">
        <f t="shared" si="1"/>
        <v>5301202</v>
      </c>
      <c r="G67" s="148"/>
      <c r="I67" s="320"/>
    </row>
    <row r="68" spans="1:12" ht="14">
      <c r="A68" s="316">
        <v>42583</v>
      </c>
      <c r="B68" s="317">
        <f t="shared" si="0"/>
        <v>5301202</v>
      </c>
      <c r="C68" s="318" t="s">
        <v>903</v>
      </c>
      <c r="D68" s="317">
        <v>-120482</v>
      </c>
      <c r="E68" s="317">
        <v>11678</v>
      </c>
      <c r="F68" s="319">
        <f t="shared" si="1"/>
        <v>5180720</v>
      </c>
      <c r="G68" s="148"/>
      <c r="I68" s="320"/>
    </row>
    <row r="69" spans="1:12" ht="14">
      <c r="A69" s="316">
        <v>42614</v>
      </c>
      <c r="B69" s="317">
        <f t="shared" si="0"/>
        <v>5180720</v>
      </c>
      <c r="C69" s="318" t="s">
        <v>903</v>
      </c>
      <c r="D69" s="317">
        <v>-120482</v>
      </c>
      <c r="E69" s="317">
        <v>11044</v>
      </c>
      <c r="F69" s="319">
        <f t="shared" si="1"/>
        <v>5060238</v>
      </c>
      <c r="G69" s="148"/>
      <c r="I69" s="320"/>
    </row>
    <row r="70" spans="1:12" ht="14">
      <c r="A70" s="316">
        <v>42644</v>
      </c>
      <c r="B70" s="317">
        <f t="shared" si="0"/>
        <v>5060238</v>
      </c>
      <c r="C70" s="318" t="s">
        <v>903</v>
      </c>
      <c r="D70" s="317">
        <v>-120482</v>
      </c>
      <c r="E70" s="317">
        <v>11146</v>
      </c>
      <c r="F70" s="319">
        <f t="shared" si="1"/>
        <v>4939756</v>
      </c>
      <c r="G70" s="148"/>
      <c r="I70" s="320"/>
    </row>
    <row r="71" spans="1:12" ht="14">
      <c r="A71" s="316">
        <v>42675</v>
      </c>
      <c r="B71" s="317">
        <f t="shared" si="0"/>
        <v>4939756</v>
      </c>
      <c r="C71" s="318" t="s">
        <v>903</v>
      </c>
      <c r="D71" s="317">
        <v>-120482</v>
      </c>
      <c r="E71" s="317">
        <v>10530</v>
      </c>
      <c r="F71" s="319">
        <f t="shared" si="1"/>
        <v>4819274</v>
      </c>
      <c r="G71" s="148"/>
      <c r="I71" s="320"/>
    </row>
    <row r="72" spans="1:12" ht="15" thickBot="1">
      <c r="A72" s="321">
        <v>42705</v>
      </c>
      <c r="B72" s="322">
        <f t="shared" si="0"/>
        <v>4819274</v>
      </c>
      <c r="C72" s="323" t="s">
        <v>903</v>
      </c>
      <c r="D72" s="322">
        <v>-120482</v>
      </c>
      <c r="E72" s="322">
        <v>10615</v>
      </c>
      <c r="F72" s="324">
        <f t="shared" si="1"/>
        <v>4698792</v>
      </c>
      <c r="G72" s="325">
        <f>SUM(D61:D72)</f>
        <v>-1445784</v>
      </c>
      <c r="H72" s="326">
        <f>SUM(E61:E72)</f>
        <v>142531</v>
      </c>
      <c r="I72" s="327">
        <f>G72-H72</f>
        <v>-1588315</v>
      </c>
      <c r="J72" s="723"/>
    </row>
    <row r="73" spans="1:12" ht="14">
      <c r="A73" s="308">
        <v>42736</v>
      </c>
      <c r="B73" s="311">
        <f t="shared" si="0"/>
        <v>4698792</v>
      </c>
      <c r="C73" s="309" t="s">
        <v>903</v>
      </c>
      <c r="D73" s="311">
        <v>-120482</v>
      </c>
      <c r="E73" s="311">
        <v>10350</v>
      </c>
      <c r="F73" s="328">
        <f t="shared" si="1"/>
        <v>4578310</v>
      </c>
      <c r="G73" s="313"/>
      <c r="H73" s="314"/>
      <c r="I73" s="315"/>
    </row>
    <row r="74" spans="1:12" ht="14">
      <c r="A74" s="316">
        <v>42767</v>
      </c>
      <c r="B74" s="317">
        <f t="shared" si="0"/>
        <v>4578310</v>
      </c>
      <c r="C74" s="318" t="s">
        <v>903</v>
      </c>
      <c r="D74" s="317">
        <v>-120482</v>
      </c>
      <c r="E74" s="317">
        <v>9107</v>
      </c>
      <c r="F74" s="329">
        <f t="shared" si="1"/>
        <v>4457828</v>
      </c>
      <c r="G74" s="148"/>
      <c r="I74" s="320"/>
    </row>
    <row r="75" spans="1:12" ht="14">
      <c r="A75" s="316">
        <v>42795</v>
      </c>
      <c r="B75" s="317">
        <f t="shared" si="0"/>
        <v>4457828</v>
      </c>
      <c r="C75" s="318" t="s">
        <v>903</v>
      </c>
      <c r="D75" s="317">
        <v>-120482</v>
      </c>
      <c r="E75" s="317">
        <v>9818</v>
      </c>
      <c r="F75" s="329">
        <f t="shared" si="1"/>
        <v>4337346</v>
      </c>
      <c r="G75" s="148"/>
      <c r="I75" s="320"/>
    </row>
    <row r="76" spans="1:12" ht="14">
      <c r="A76" s="316">
        <v>42826</v>
      </c>
      <c r="B76" s="317">
        <f t="shared" si="0"/>
        <v>4337346</v>
      </c>
      <c r="C76" s="318" t="s">
        <v>903</v>
      </c>
      <c r="D76" s="317">
        <v>-120482</v>
      </c>
      <c r="E76" s="317">
        <v>9244</v>
      </c>
      <c r="F76" s="329">
        <f t="shared" si="1"/>
        <v>4216864</v>
      </c>
      <c r="G76" s="148"/>
      <c r="I76" s="320"/>
    </row>
    <row r="77" spans="1:12" ht="14">
      <c r="A77" s="316">
        <v>42856</v>
      </c>
      <c r="B77" s="317">
        <f t="shared" si="0"/>
        <v>4216864</v>
      </c>
      <c r="C77" s="318" t="s">
        <v>903</v>
      </c>
      <c r="D77" s="317">
        <v>-120482</v>
      </c>
      <c r="E77" s="317">
        <v>9287</v>
      </c>
      <c r="F77" s="329">
        <f t="shared" si="1"/>
        <v>4096382</v>
      </c>
      <c r="G77" s="148"/>
      <c r="I77" s="320"/>
      <c r="K77" s="201">
        <f>SUM(B73:B84)/12</f>
        <v>4036141</v>
      </c>
      <c r="L77" s="143">
        <f>H84/K77</f>
        <v>2.5909154313489047E-2</v>
      </c>
    </row>
    <row r="78" spans="1:12" ht="14">
      <c r="A78" s="316">
        <v>42887</v>
      </c>
      <c r="B78" s="317">
        <f t="shared" si="0"/>
        <v>4096382</v>
      </c>
      <c r="C78" s="318" t="s">
        <v>903</v>
      </c>
      <c r="D78" s="317">
        <v>-120482</v>
      </c>
      <c r="E78" s="317">
        <v>8730</v>
      </c>
      <c r="F78" s="329">
        <f t="shared" si="1"/>
        <v>3975900</v>
      </c>
      <c r="G78" s="148"/>
      <c r="I78" s="320"/>
    </row>
    <row r="79" spans="1:12" ht="14">
      <c r="A79" s="316">
        <v>42917</v>
      </c>
      <c r="B79" s="317">
        <f t="shared" si="0"/>
        <v>3975900</v>
      </c>
      <c r="C79" s="318" t="s">
        <v>903</v>
      </c>
      <c r="D79" s="317">
        <v>-120482</v>
      </c>
      <c r="E79" s="317">
        <v>8756</v>
      </c>
      <c r="F79" s="329">
        <f t="shared" si="1"/>
        <v>3855418</v>
      </c>
      <c r="G79" s="148"/>
      <c r="I79" s="320"/>
    </row>
    <row r="80" spans="1:12" ht="14">
      <c r="A80" s="316">
        <v>42948</v>
      </c>
      <c r="B80" s="317">
        <f t="shared" si="0"/>
        <v>3855418</v>
      </c>
      <c r="C80" s="318" t="s">
        <v>903</v>
      </c>
      <c r="D80" s="317">
        <v>-120482</v>
      </c>
      <c r="E80" s="317">
        <v>8490</v>
      </c>
      <c r="F80" s="329">
        <f t="shared" si="1"/>
        <v>3734936</v>
      </c>
      <c r="G80" s="148"/>
      <c r="I80" s="320"/>
    </row>
    <row r="81" spans="1:17" ht="14">
      <c r="A81" s="316">
        <v>42979</v>
      </c>
      <c r="B81" s="317">
        <f t="shared" si="0"/>
        <v>3734936</v>
      </c>
      <c r="C81" s="318" t="s">
        <v>903</v>
      </c>
      <c r="D81" s="317">
        <v>-120482</v>
      </c>
      <c r="E81" s="317">
        <v>7959</v>
      </c>
      <c r="F81" s="329">
        <f t="shared" si="1"/>
        <v>3614454</v>
      </c>
      <c r="G81" s="148"/>
      <c r="I81" s="320"/>
    </row>
    <row r="82" spans="1:17" ht="14">
      <c r="A82" s="316">
        <v>43009</v>
      </c>
      <c r="B82" s="317">
        <f t="shared" si="0"/>
        <v>3614454</v>
      </c>
      <c r="C82" s="318" t="s">
        <v>903</v>
      </c>
      <c r="D82" s="317">
        <v>-120482</v>
      </c>
      <c r="E82" s="317">
        <v>7959</v>
      </c>
      <c r="F82" s="329">
        <f t="shared" si="1"/>
        <v>3493972</v>
      </c>
      <c r="G82" s="148"/>
      <c r="I82" s="320"/>
    </row>
    <row r="83" spans="1:17" ht="14">
      <c r="A83" s="316">
        <v>43040</v>
      </c>
      <c r="B83" s="317">
        <f t="shared" si="0"/>
        <v>3493972</v>
      </c>
      <c r="C83" s="318" t="s">
        <v>903</v>
      </c>
      <c r="D83" s="317">
        <v>-120482</v>
      </c>
      <c r="E83" s="317">
        <v>7445</v>
      </c>
      <c r="F83" s="329">
        <f t="shared" si="1"/>
        <v>3373490</v>
      </c>
      <c r="G83" s="148"/>
      <c r="I83" s="320"/>
    </row>
    <row r="84" spans="1:17" ht="15" thickBot="1">
      <c r="A84" s="321">
        <v>43070</v>
      </c>
      <c r="B84" s="322">
        <f t="shared" si="0"/>
        <v>3373490</v>
      </c>
      <c r="C84" s="323" t="s">
        <v>903</v>
      </c>
      <c r="D84" s="322">
        <v>-120482</v>
      </c>
      <c r="E84" s="322">
        <v>7428</v>
      </c>
      <c r="F84" s="330">
        <f t="shared" si="1"/>
        <v>3253008</v>
      </c>
      <c r="G84" s="331">
        <f>SUM(D73:D84)</f>
        <v>-1445784</v>
      </c>
      <c r="H84" s="201">
        <f>SUM(E73:E84)</f>
        <v>104573</v>
      </c>
      <c r="I84" s="332">
        <f>G84-H84</f>
        <v>-1550357</v>
      </c>
    </row>
    <row r="85" spans="1:17" ht="14">
      <c r="A85" s="308">
        <v>43101</v>
      </c>
      <c r="B85" s="311">
        <f t="shared" si="0"/>
        <v>3253008</v>
      </c>
      <c r="C85" s="309" t="s">
        <v>903</v>
      </c>
      <c r="D85" s="311">
        <v>-120482</v>
      </c>
      <c r="E85" s="311">
        <v>7163</v>
      </c>
      <c r="F85" s="328">
        <f t="shared" si="1"/>
        <v>3132526</v>
      </c>
      <c r="G85" s="313"/>
      <c r="H85" s="314"/>
      <c r="I85" s="315"/>
    </row>
    <row r="86" spans="1:17" ht="14">
      <c r="A86" s="316">
        <v>43132</v>
      </c>
      <c r="B86" s="317">
        <f t="shared" si="0"/>
        <v>3132526</v>
      </c>
      <c r="C86" s="318" t="s">
        <v>903</v>
      </c>
      <c r="D86" s="317">
        <v>-120482</v>
      </c>
      <c r="E86" s="317">
        <v>6229</v>
      </c>
      <c r="F86" s="329">
        <f t="shared" si="1"/>
        <v>3012044</v>
      </c>
      <c r="G86" s="148"/>
      <c r="I86" s="320"/>
    </row>
    <row r="87" spans="1:17" ht="14">
      <c r="A87" s="316">
        <v>43160</v>
      </c>
      <c r="B87" s="317">
        <f t="shared" si="0"/>
        <v>3012044</v>
      </c>
      <c r="C87" s="318" t="s">
        <v>903</v>
      </c>
      <c r="D87" s="317">
        <v>-120482</v>
      </c>
      <c r="E87" s="317">
        <v>6631</v>
      </c>
      <c r="F87" s="329">
        <f t="shared" si="1"/>
        <v>2891562</v>
      </c>
      <c r="G87" s="148"/>
      <c r="I87" s="320"/>
      <c r="M87" t="s">
        <v>906</v>
      </c>
    </row>
    <row r="88" spans="1:17" ht="14">
      <c r="A88" s="316">
        <v>43191</v>
      </c>
      <c r="B88" s="317">
        <f t="shared" si="0"/>
        <v>2891562</v>
      </c>
      <c r="C88" s="318" t="s">
        <v>903</v>
      </c>
      <c r="D88" s="317">
        <v>-120482</v>
      </c>
      <c r="E88" s="317">
        <v>6160</v>
      </c>
      <c r="F88" s="329">
        <f t="shared" si="1"/>
        <v>2771080</v>
      </c>
      <c r="G88" s="148"/>
      <c r="I88" s="320"/>
      <c r="M88" s="201">
        <v>125000</v>
      </c>
    </row>
    <row r="89" spans="1:17" ht="14">
      <c r="A89" s="316">
        <v>43221</v>
      </c>
      <c r="B89" s="317">
        <f t="shared" si="0"/>
        <v>2771080</v>
      </c>
      <c r="C89" s="318" t="s">
        <v>903</v>
      </c>
      <c r="D89" s="317">
        <v>-120482</v>
      </c>
      <c r="E89" s="317">
        <v>6100</v>
      </c>
      <c r="F89" s="329">
        <f t="shared" si="1"/>
        <v>2650598</v>
      </c>
      <c r="G89" s="148"/>
      <c r="I89" s="320"/>
      <c r="L89" s="768">
        <v>2019</v>
      </c>
      <c r="M89" s="764">
        <f>10*125000+200000</f>
        <v>1450000</v>
      </c>
      <c r="N89" s="769"/>
      <c r="O89" s="764">
        <f>-G108</f>
        <v>1445784</v>
      </c>
      <c r="P89" s="769"/>
      <c r="Q89" s="764">
        <f>M89+O89</f>
        <v>2895784</v>
      </c>
    </row>
    <row r="90" spans="1:17" ht="14">
      <c r="A90" s="316">
        <v>43252</v>
      </c>
      <c r="B90" s="317">
        <f t="shared" si="0"/>
        <v>2650598</v>
      </c>
      <c r="C90" s="318" t="s">
        <v>903</v>
      </c>
      <c r="D90" s="317">
        <v>-120482</v>
      </c>
      <c r="E90" s="317">
        <v>5646</v>
      </c>
      <c r="F90" s="329">
        <f t="shared" si="1"/>
        <v>2530116</v>
      </c>
      <c r="G90" s="148"/>
      <c r="I90" s="320"/>
      <c r="K90" s="201">
        <f>SUM(B85:B96)/12</f>
        <v>2590357</v>
      </c>
      <c r="L90" s="143">
        <f>H96/K90</f>
        <v>2.5884463029613294E-2</v>
      </c>
      <c r="M90" s="201"/>
    </row>
    <row r="91" spans="1:17" ht="14">
      <c r="A91" s="316">
        <v>43282</v>
      </c>
      <c r="B91" s="317">
        <f t="shared" si="0"/>
        <v>2530116</v>
      </c>
      <c r="C91" s="318" t="s">
        <v>903</v>
      </c>
      <c r="D91" s="317">
        <v>-120482</v>
      </c>
      <c r="E91" s="317">
        <v>5569</v>
      </c>
      <c r="F91" s="329">
        <f t="shared" si="1"/>
        <v>2409634</v>
      </c>
      <c r="G91" s="148"/>
      <c r="I91" s="320"/>
    </row>
    <row r="92" spans="1:17" ht="14">
      <c r="A92" s="316">
        <v>43313</v>
      </c>
      <c r="B92" s="317">
        <f t="shared" si="0"/>
        <v>2409634</v>
      </c>
      <c r="C92" s="318" t="s">
        <v>903</v>
      </c>
      <c r="D92" s="317">
        <v>-120482</v>
      </c>
      <c r="E92" s="317">
        <v>5303</v>
      </c>
      <c r="F92" s="329">
        <f t="shared" si="1"/>
        <v>2289152</v>
      </c>
      <c r="G92" s="148"/>
      <c r="I92" s="320"/>
    </row>
    <row r="93" spans="1:17" ht="14">
      <c r="A93" s="316">
        <v>43344</v>
      </c>
      <c r="B93" s="317">
        <f t="shared" si="0"/>
        <v>2289152</v>
      </c>
      <c r="C93" s="318" t="s">
        <v>903</v>
      </c>
      <c r="D93" s="317">
        <v>-120482</v>
      </c>
      <c r="E93" s="317">
        <v>4875</v>
      </c>
      <c r="F93" s="329">
        <f t="shared" si="1"/>
        <v>2168670</v>
      </c>
      <c r="G93" s="148"/>
      <c r="I93" s="320"/>
    </row>
    <row r="94" spans="1:17" ht="14">
      <c r="A94" s="316">
        <v>43374</v>
      </c>
      <c r="B94" s="317">
        <f t="shared" ref="B94:B111" si="3">F93</f>
        <v>2168670</v>
      </c>
      <c r="C94" s="318" t="s">
        <v>903</v>
      </c>
      <c r="D94" s="317">
        <v>-120482</v>
      </c>
      <c r="E94" s="317">
        <v>4772</v>
      </c>
      <c r="F94" s="329">
        <f t="shared" ref="F94:F110" si="4">B94+D94</f>
        <v>2048188</v>
      </c>
      <c r="G94" s="148"/>
      <c r="I94" s="320"/>
      <c r="L94" s="4" t="s">
        <v>907</v>
      </c>
      <c r="M94" s="764">
        <v>12322830.65</v>
      </c>
      <c r="N94" s="458">
        <v>43795</v>
      </c>
    </row>
    <row r="95" spans="1:17" ht="14">
      <c r="A95" s="333">
        <v>43405</v>
      </c>
      <c r="B95" s="334">
        <f t="shared" si="3"/>
        <v>2048188</v>
      </c>
      <c r="C95" s="335" t="s">
        <v>903</v>
      </c>
      <c r="D95" s="334">
        <v>-120482</v>
      </c>
      <c r="E95" s="334">
        <v>4361</v>
      </c>
      <c r="F95" s="336">
        <f t="shared" si="4"/>
        <v>1927706</v>
      </c>
      <c r="G95" s="148"/>
      <c r="I95" s="320"/>
    </row>
    <row r="96" spans="1:17" ht="15" thickBot="1">
      <c r="A96" s="337">
        <v>43435</v>
      </c>
      <c r="B96" s="338">
        <f t="shared" si="3"/>
        <v>1927706</v>
      </c>
      <c r="C96" s="339" t="s">
        <v>903</v>
      </c>
      <c r="D96" s="338">
        <v>-120482</v>
      </c>
      <c r="E96" s="338">
        <v>4241</v>
      </c>
      <c r="F96" s="340">
        <f t="shared" si="4"/>
        <v>1807224</v>
      </c>
      <c r="G96" s="325">
        <f>SUM(D85:D96)</f>
        <v>-1445784</v>
      </c>
      <c r="H96" s="326">
        <f>SUM(E85:E96)</f>
        <v>67050</v>
      </c>
      <c r="I96" s="327">
        <f>G96-H96</f>
        <v>-1512834</v>
      </c>
      <c r="M96" s="765">
        <v>200000</v>
      </c>
      <c r="N96" t="s">
        <v>908</v>
      </c>
    </row>
    <row r="97" spans="1:19" ht="14">
      <c r="A97" s="308">
        <v>43466</v>
      </c>
      <c r="B97" s="311">
        <f t="shared" si="3"/>
        <v>1807224</v>
      </c>
      <c r="C97" s="309" t="s">
        <v>903</v>
      </c>
      <c r="D97" s="311">
        <v>-120482</v>
      </c>
      <c r="E97" s="311">
        <v>3975</v>
      </c>
      <c r="F97" s="312">
        <f t="shared" si="4"/>
        <v>1686742</v>
      </c>
      <c r="G97" s="148"/>
      <c r="I97" s="320"/>
      <c r="M97" s="201"/>
      <c r="O97" s="764">
        <v>126915.22</v>
      </c>
      <c r="Q97" t="s">
        <v>909</v>
      </c>
    </row>
    <row r="98" spans="1:19" ht="14">
      <c r="A98" s="316">
        <v>43497</v>
      </c>
      <c r="B98" s="317">
        <f t="shared" si="3"/>
        <v>1686742</v>
      </c>
      <c r="C98" s="318" t="s">
        <v>903</v>
      </c>
      <c r="D98" s="317">
        <v>-120482</v>
      </c>
      <c r="E98" s="317">
        <v>3350</v>
      </c>
      <c r="F98" s="319">
        <f t="shared" si="4"/>
        <v>1566260</v>
      </c>
      <c r="G98" s="148"/>
      <c r="I98" s="320"/>
      <c r="M98" s="201"/>
      <c r="O98" s="764">
        <v>125923.61</v>
      </c>
      <c r="Q98" t="s">
        <v>910</v>
      </c>
    </row>
    <row r="99" spans="1:19" ht="14">
      <c r="A99" s="316">
        <v>43525</v>
      </c>
      <c r="B99" s="317">
        <f t="shared" si="3"/>
        <v>1566260</v>
      </c>
      <c r="C99" s="318" t="s">
        <v>903</v>
      </c>
      <c r="D99" s="317">
        <v>-120482</v>
      </c>
      <c r="E99" s="317">
        <v>3444</v>
      </c>
      <c r="F99" s="319">
        <f t="shared" si="4"/>
        <v>1445778</v>
      </c>
      <c r="G99" s="148"/>
      <c r="I99" s="320"/>
      <c r="M99" s="764">
        <v>129125.23</v>
      </c>
      <c r="N99" t="s">
        <v>911</v>
      </c>
      <c r="O99" s="764">
        <v>126052.23</v>
      </c>
      <c r="Q99" t="s">
        <v>912</v>
      </c>
    </row>
    <row r="100" spans="1:19" ht="14">
      <c r="A100" s="316">
        <v>43556</v>
      </c>
      <c r="B100" s="317">
        <f t="shared" si="3"/>
        <v>1445778</v>
      </c>
      <c r="C100" s="318" t="s">
        <v>903</v>
      </c>
      <c r="D100" s="317">
        <v>-120482</v>
      </c>
      <c r="E100" s="317">
        <v>3076</v>
      </c>
      <c r="F100" s="319">
        <f t="shared" si="4"/>
        <v>1325296</v>
      </c>
      <c r="G100" s="148"/>
      <c r="I100" s="320"/>
      <c r="M100" s="764">
        <v>139079.26</v>
      </c>
      <c r="N100" t="s">
        <v>913</v>
      </c>
      <c r="O100" s="764">
        <v>125461.9</v>
      </c>
      <c r="Q100" t="s">
        <v>914</v>
      </c>
    </row>
    <row r="101" spans="1:19" ht="14">
      <c r="A101" s="316">
        <v>43586</v>
      </c>
      <c r="B101" s="317">
        <f t="shared" si="3"/>
        <v>1325296</v>
      </c>
      <c r="C101" s="318" t="s">
        <v>903</v>
      </c>
      <c r="D101" s="317">
        <v>-120482</v>
      </c>
      <c r="E101" s="317">
        <v>2913</v>
      </c>
      <c r="F101" s="319">
        <f t="shared" si="4"/>
        <v>1204814</v>
      </c>
      <c r="G101" s="148"/>
      <c r="I101" s="320"/>
      <c r="M101" s="764">
        <v>138499.04999999999</v>
      </c>
      <c r="N101" t="s">
        <v>915</v>
      </c>
      <c r="O101" s="764">
        <v>125260.07</v>
      </c>
      <c r="Q101" t="s">
        <v>916</v>
      </c>
    </row>
    <row r="102" spans="1:19" ht="14">
      <c r="A102" s="316">
        <v>43617</v>
      </c>
      <c r="B102" s="317">
        <f t="shared" si="3"/>
        <v>1204814</v>
      </c>
      <c r="C102" s="318" t="s">
        <v>903</v>
      </c>
      <c r="D102" s="317">
        <v>-120482</v>
      </c>
      <c r="E102" s="317">
        <v>2562</v>
      </c>
      <c r="F102" s="319">
        <f t="shared" si="4"/>
        <v>1084332</v>
      </c>
      <c r="G102" s="148"/>
      <c r="I102" s="320"/>
      <c r="K102" s="201">
        <f>SUM(B97:B108)/12</f>
        <v>1144573</v>
      </c>
      <c r="L102" s="143">
        <f>H108/K102</f>
        <v>2.5795646061893825E-2</v>
      </c>
      <c r="M102" s="764">
        <v>138818.76999999999</v>
      </c>
      <c r="N102" t="s">
        <v>917</v>
      </c>
      <c r="O102" s="764">
        <v>124839.41</v>
      </c>
      <c r="Q102" t="s">
        <v>918</v>
      </c>
    </row>
    <row r="103" spans="1:19" ht="14">
      <c r="A103" s="316">
        <v>43647</v>
      </c>
      <c r="B103" s="317">
        <f t="shared" si="3"/>
        <v>1084332</v>
      </c>
      <c r="C103" s="318" t="s">
        <v>903</v>
      </c>
      <c r="D103" s="317">
        <v>-120482</v>
      </c>
      <c r="E103" s="317">
        <v>2382</v>
      </c>
      <c r="F103" s="319">
        <f t="shared" si="4"/>
        <v>963850</v>
      </c>
      <c r="G103" s="148"/>
      <c r="I103" s="320"/>
      <c r="M103" s="764">
        <v>138246.96</v>
      </c>
      <c r="N103" t="s">
        <v>919</v>
      </c>
      <c r="O103" s="764">
        <v>124534.39</v>
      </c>
      <c r="Q103" t="s">
        <v>920</v>
      </c>
    </row>
    <row r="104" spans="1:19" ht="14">
      <c r="A104" s="316">
        <v>43678</v>
      </c>
      <c r="B104" s="317">
        <f t="shared" si="3"/>
        <v>963850</v>
      </c>
      <c r="C104" s="318" t="s">
        <v>903</v>
      </c>
      <c r="D104" s="317">
        <v>-120482</v>
      </c>
      <c r="E104" s="317">
        <v>2116</v>
      </c>
      <c r="F104" s="319">
        <f t="shared" si="4"/>
        <v>843368</v>
      </c>
      <c r="G104" s="148"/>
      <c r="I104" s="320"/>
      <c r="M104" s="764">
        <v>138470.9</v>
      </c>
      <c r="N104" t="s">
        <v>921</v>
      </c>
      <c r="O104" s="764">
        <v>124084.12</v>
      </c>
      <c r="Q104" t="s">
        <v>922</v>
      </c>
      <c r="S104" s="266"/>
    </row>
    <row r="105" spans="1:19" ht="14">
      <c r="A105" s="316">
        <v>43709</v>
      </c>
      <c r="B105" s="317">
        <f t="shared" si="3"/>
        <v>843368</v>
      </c>
      <c r="C105" s="318" t="s">
        <v>903</v>
      </c>
      <c r="D105" s="317">
        <v>-120482</v>
      </c>
      <c r="E105" s="317">
        <v>1791</v>
      </c>
      <c r="F105" s="319">
        <f t="shared" si="4"/>
        <v>722886</v>
      </c>
      <c r="G105" s="148"/>
      <c r="I105" s="320"/>
      <c r="M105" s="764">
        <v>138219.65</v>
      </c>
      <c r="N105" t="s">
        <v>923</v>
      </c>
      <c r="O105" s="764">
        <v>123532.18</v>
      </c>
      <c r="Q105" t="s">
        <v>924</v>
      </c>
    </row>
    <row r="106" spans="1:19" ht="14">
      <c r="A106" s="316">
        <v>43739</v>
      </c>
      <c r="B106" s="317">
        <f t="shared" si="3"/>
        <v>722886</v>
      </c>
      <c r="C106" s="318" t="s">
        <v>903</v>
      </c>
      <c r="D106" s="317">
        <v>-120482</v>
      </c>
      <c r="E106" s="317">
        <v>1585</v>
      </c>
      <c r="F106" s="319">
        <f t="shared" si="4"/>
        <v>602404</v>
      </c>
      <c r="G106" s="148"/>
      <c r="I106" s="320"/>
      <c r="M106" s="764">
        <v>137667.18</v>
      </c>
      <c r="N106" t="s">
        <v>925</v>
      </c>
      <c r="O106" s="764">
        <v>123183.58</v>
      </c>
      <c r="Q106" t="s">
        <v>926</v>
      </c>
    </row>
    <row r="107" spans="1:19" ht="14">
      <c r="A107" s="316">
        <v>43770</v>
      </c>
      <c r="B107" s="317">
        <f t="shared" si="3"/>
        <v>602404</v>
      </c>
      <c r="C107" s="318" t="s">
        <v>903</v>
      </c>
      <c r="D107" s="317">
        <v>-120482</v>
      </c>
      <c r="E107" s="317">
        <v>1277</v>
      </c>
      <c r="F107" s="319">
        <f t="shared" si="4"/>
        <v>481922</v>
      </c>
      <c r="G107" s="148"/>
      <c r="I107" s="320"/>
      <c r="M107" s="764">
        <v>137959.16</v>
      </c>
      <c r="N107" t="s">
        <v>927</v>
      </c>
      <c r="O107" s="764">
        <v>122660</v>
      </c>
      <c r="Q107" t="s">
        <v>928</v>
      </c>
    </row>
    <row r="108" spans="1:19" ht="15" thickBot="1">
      <c r="A108" s="321">
        <v>43800</v>
      </c>
      <c r="B108" s="322">
        <f t="shared" si="3"/>
        <v>481922</v>
      </c>
      <c r="C108" s="323" t="s">
        <v>903</v>
      </c>
      <c r="D108" s="322">
        <v>-120482</v>
      </c>
      <c r="E108" s="322">
        <v>1054</v>
      </c>
      <c r="F108" s="324">
        <f t="shared" si="4"/>
        <v>361440</v>
      </c>
      <c r="G108" s="325">
        <f>SUM(D97:D108)</f>
        <v>-1445784</v>
      </c>
      <c r="H108" s="326">
        <f>SUM(E97:E108)</f>
        <v>29525</v>
      </c>
      <c r="I108" s="327">
        <f>G108-H108</f>
        <v>-1475309</v>
      </c>
      <c r="M108" s="766">
        <v>137415.09</v>
      </c>
      <c r="N108" s="240" t="s">
        <v>929</v>
      </c>
      <c r="O108" s="767">
        <f>-(D108+E108)</f>
        <v>119428</v>
      </c>
      <c r="P108" s="240"/>
      <c r="Q108" s="240" t="s">
        <v>930</v>
      </c>
    </row>
    <row r="109" spans="1:19" ht="14">
      <c r="A109" s="308">
        <v>43831</v>
      </c>
      <c r="B109" s="311">
        <f t="shared" si="3"/>
        <v>361440</v>
      </c>
      <c r="C109" s="309" t="s">
        <v>903</v>
      </c>
      <c r="D109" s="311">
        <v>-120482</v>
      </c>
      <c r="E109" s="311">
        <v>788</v>
      </c>
      <c r="F109" s="312">
        <f t="shared" si="4"/>
        <v>240958</v>
      </c>
      <c r="G109" s="313"/>
      <c r="H109" s="314"/>
      <c r="I109" s="315"/>
    </row>
    <row r="110" spans="1:19" ht="14">
      <c r="A110" s="316">
        <v>43862</v>
      </c>
      <c r="B110" s="317">
        <f t="shared" si="3"/>
        <v>240958</v>
      </c>
      <c r="C110" s="318" t="s">
        <v>903</v>
      </c>
      <c r="D110" s="317">
        <v>-120482</v>
      </c>
      <c r="E110" s="317">
        <v>488</v>
      </c>
      <c r="F110" s="319">
        <f t="shared" si="4"/>
        <v>120476</v>
      </c>
      <c r="G110" s="148"/>
      <c r="I110" s="320"/>
    </row>
    <row r="111" spans="1:19" ht="15" thickBot="1">
      <c r="A111" s="321">
        <v>43891</v>
      </c>
      <c r="B111" s="322">
        <f t="shared" si="3"/>
        <v>120476</v>
      </c>
      <c r="C111" s="323" t="s">
        <v>903</v>
      </c>
      <c r="D111" s="322">
        <v>-120476</v>
      </c>
      <c r="E111" s="322">
        <v>257</v>
      </c>
      <c r="F111" s="341"/>
      <c r="G111" s="325">
        <f>SUM(D109:D111)</f>
        <v>-361440</v>
      </c>
      <c r="H111" s="326">
        <f>SUM(E109:E111)</f>
        <v>1533</v>
      </c>
      <c r="I111" s="327">
        <f>G111-H111</f>
        <v>-362973</v>
      </c>
      <c r="M111" s="201">
        <f>SUM(M96:M110)</f>
        <v>1573501.25</v>
      </c>
      <c r="O111" s="201">
        <f>SUM(O97:O110)</f>
        <v>1491874.7100000002</v>
      </c>
    </row>
    <row r="112" spans="1:19">
      <c r="B112" s="201"/>
      <c r="D112" s="201">
        <f>SUM(D28:D111)</f>
        <v>-10000000</v>
      </c>
      <c r="E112" s="201">
        <f>SUM(E28:E111)</f>
        <v>909520</v>
      </c>
      <c r="G112" s="201">
        <f>SUM(G28:G111)</f>
        <v>-10000000</v>
      </c>
      <c r="H112" s="201">
        <f>SUM(H28:H111)</f>
        <v>908809</v>
      </c>
      <c r="I112" s="201">
        <f>SUM(I28:I111)</f>
        <v>-10908809</v>
      </c>
    </row>
    <row r="113" spans="4:17">
      <c r="D113" s="344">
        <f>83*D111</f>
        <v>-9999508</v>
      </c>
      <c r="E113" s="344">
        <f>E28-E111</f>
        <v>454</v>
      </c>
      <c r="M113" s="201">
        <f>12*125000+361000</f>
        <v>1861000</v>
      </c>
      <c r="O113" s="201">
        <f>M111+O111</f>
        <v>3065375.96</v>
      </c>
      <c r="Q113" t="s">
        <v>931</v>
      </c>
    </row>
    <row r="116" spans="4:17">
      <c r="M116" s="201"/>
      <c r="O116" s="201"/>
    </row>
  </sheetData>
  <mergeCells count="5">
    <mergeCell ref="A25:B25"/>
    <mergeCell ref="A21:I21"/>
    <mergeCell ref="A3:B3"/>
    <mergeCell ref="A15:B15"/>
    <mergeCell ref="A23:B23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7"/>
  <sheetViews>
    <sheetView topLeftCell="A30" workbookViewId="0">
      <selection activeCell="D54" sqref="D54"/>
    </sheetView>
  </sheetViews>
  <sheetFormatPr baseColWidth="10" defaultColWidth="8.83203125" defaultRowHeight="13"/>
  <cols>
    <col min="1" max="1" width="36.6640625" customWidth="1"/>
    <col min="2" max="2" width="14.5" customWidth="1"/>
    <col min="3" max="3" width="15.83203125" customWidth="1"/>
    <col min="4" max="4" width="37.83203125" customWidth="1"/>
    <col min="5" max="5" width="13" customWidth="1"/>
  </cols>
  <sheetData>
    <row r="1" spans="1:6" ht="18">
      <c r="A1" s="105" t="s">
        <v>932</v>
      </c>
      <c r="D1" s="105" t="s">
        <v>933</v>
      </c>
    </row>
    <row r="2" spans="1:6">
      <c r="A2" t="s">
        <v>934</v>
      </c>
      <c r="D2" t="s">
        <v>935</v>
      </c>
    </row>
    <row r="3" spans="1:6" ht="14" thickBot="1"/>
    <row r="4" spans="1:6" ht="14" thickBot="1">
      <c r="A4" s="154" t="s">
        <v>936</v>
      </c>
      <c r="B4" s="491" t="s">
        <v>937</v>
      </c>
      <c r="D4" s="154" t="s">
        <v>936</v>
      </c>
      <c r="E4" s="491" t="s">
        <v>937</v>
      </c>
    </row>
    <row r="5" spans="1:6">
      <c r="A5" s="492" t="s">
        <v>938</v>
      </c>
      <c r="B5" s="493">
        <v>343</v>
      </c>
      <c r="D5" s="494" t="s">
        <v>939</v>
      </c>
      <c r="E5" s="495">
        <v>368</v>
      </c>
      <c r="F5" t="s">
        <v>940</v>
      </c>
    </row>
    <row r="6" spans="1:6">
      <c r="A6" s="494" t="s">
        <v>417</v>
      </c>
      <c r="B6" s="495">
        <f>76+214</f>
        <v>290</v>
      </c>
      <c r="D6" s="494" t="s">
        <v>941</v>
      </c>
      <c r="E6" s="495">
        <v>467</v>
      </c>
    </row>
    <row r="7" spans="1:6">
      <c r="A7" s="494" t="s">
        <v>942</v>
      </c>
      <c r="B7" s="495">
        <f>39+222</f>
        <v>261</v>
      </c>
      <c r="D7" s="494" t="s">
        <v>417</v>
      </c>
      <c r="E7" s="495">
        <v>324</v>
      </c>
    </row>
    <row r="8" spans="1:6">
      <c r="A8" s="494" t="s">
        <v>943</v>
      </c>
      <c r="B8" s="495">
        <f>59+16+154</f>
        <v>229</v>
      </c>
      <c r="D8" s="494" t="s">
        <v>944</v>
      </c>
      <c r="E8" s="495">
        <v>309</v>
      </c>
    </row>
    <row r="9" spans="1:6">
      <c r="A9" s="494" t="s">
        <v>945</v>
      </c>
      <c r="B9" s="495">
        <f>203+28+87</f>
        <v>318</v>
      </c>
      <c r="D9" s="494" t="s">
        <v>946</v>
      </c>
      <c r="E9" s="495">
        <v>208</v>
      </c>
    </row>
    <row r="10" spans="1:6">
      <c r="A10" s="494" t="s">
        <v>947</v>
      </c>
      <c r="B10" s="496">
        <v>222</v>
      </c>
      <c r="D10" s="494" t="s">
        <v>948</v>
      </c>
      <c r="E10" s="496">
        <v>182</v>
      </c>
    </row>
    <row r="11" spans="1:6">
      <c r="A11" s="494" t="s">
        <v>949</v>
      </c>
      <c r="B11" s="496">
        <v>217</v>
      </c>
      <c r="D11" s="494" t="s">
        <v>950</v>
      </c>
      <c r="E11" s="496">
        <v>111</v>
      </c>
    </row>
    <row r="12" spans="1:6" ht="14" thickBot="1">
      <c r="A12" s="497" t="s">
        <v>951</v>
      </c>
      <c r="B12" s="498">
        <v>186</v>
      </c>
      <c r="D12" s="494" t="s">
        <v>952</v>
      </c>
      <c r="E12" s="496">
        <v>113</v>
      </c>
    </row>
    <row r="13" spans="1:6" ht="14" thickBot="1">
      <c r="A13" s="499" t="s">
        <v>419</v>
      </c>
      <c r="B13" s="499">
        <f>SUM(B5:B12)</f>
        <v>2066</v>
      </c>
      <c r="D13" s="500" t="s">
        <v>953</v>
      </c>
      <c r="E13" s="501">
        <v>201</v>
      </c>
    </row>
    <row r="14" spans="1:6">
      <c r="D14" s="492" t="s">
        <v>954</v>
      </c>
      <c r="E14" s="493">
        <v>237</v>
      </c>
      <c r="F14" t="s">
        <v>955</v>
      </c>
    </row>
    <row r="15" spans="1:6">
      <c r="D15" s="494" t="s">
        <v>956</v>
      </c>
      <c r="E15" s="496">
        <v>80</v>
      </c>
    </row>
    <row r="16" spans="1:6">
      <c r="D16" s="494" t="s">
        <v>957</v>
      </c>
      <c r="E16" s="496">
        <v>79</v>
      </c>
    </row>
    <row r="17" spans="1:5" ht="19" thickBot="1">
      <c r="A17" s="105" t="s">
        <v>958</v>
      </c>
      <c r="D17" s="497" t="s">
        <v>959</v>
      </c>
      <c r="E17" s="498">
        <v>166</v>
      </c>
    </row>
    <row r="18" spans="1:5">
      <c r="A18" t="s">
        <v>960</v>
      </c>
      <c r="D18" s="499" t="s">
        <v>419</v>
      </c>
      <c r="E18" s="499">
        <f>SUM(E5:E17)</f>
        <v>2845</v>
      </c>
    </row>
    <row r="19" spans="1:5" ht="14" thickBot="1"/>
    <row r="20" spans="1:5" ht="19" thickBot="1">
      <c r="A20" s="154" t="s">
        <v>936</v>
      </c>
      <c r="B20" s="491" t="s">
        <v>937</v>
      </c>
      <c r="D20" s="105" t="s">
        <v>961</v>
      </c>
    </row>
    <row r="21" spans="1:5">
      <c r="A21" s="492" t="s">
        <v>939</v>
      </c>
      <c r="B21" s="493">
        <f>218+52+14</f>
        <v>284</v>
      </c>
      <c r="D21" t="s">
        <v>962</v>
      </c>
    </row>
    <row r="22" spans="1:5" ht="14" thickBot="1">
      <c r="A22" s="494" t="s">
        <v>415</v>
      </c>
      <c r="B22" s="495">
        <f>15+236</f>
        <v>251</v>
      </c>
    </row>
    <row r="23" spans="1:5" ht="14" thickBot="1">
      <c r="A23" s="494" t="s">
        <v>963</v>
      </c>
      <c r="B23" s="495">
        <f>144+21+111</f>
        <v>276</v>
      </c>
      <c r="D23" s="154" t="s">
        <v>936</v>
      </c>
      <c r="E23" s="491" t="s">
        <v>937</v>
      </c>
    </row>
    <row r="24" spans="1:5">
      <c r="A24" s="494" t="s">
        <v>964</v>
      </c>
      <c r="B24" s="495">
        <v>223</v>
      </c>
      <c r="D24" s="492" t="s">
        <v>965</v>
      </c>
      <c r="E24" s="493">
        <v>933</v>
      </c>
    </row>
    <row r="25" spans="1:5">
      <c r="A25" s="494" t="s">
        <v>417</v>
      </c>
      <c r="B25" s="495">
        <v>261</v>
      </c>
      <c r="D25" s="494" t="s">
        <v>966</v>
      </c>
      <c r="E25" s="495">
        <v>402</v>
      </c>
    </row>
    <row r="26" spans="1:5">
      <c r="A26" s="494" t="s">
        <v>967</v>
      </c>
      <c r="B26" s="495">
        <f>118+172</f>
        <v>290</v>
      </c>
      <c r="D26" s="494" t="s">
        <v>968</v>
      </c>
      <c r="E26" s="495">
        <v>151</v>
      </c>
    </row>
    <row r="27" spans="1:5" ht="14" thickBot="1">
      <c r="A27" s="497" t="s">
        <v>969</v>
      </c>
      <c r="B27" s="498">
        <v>117</v>
      </c>
      <c r="D27" s="494" t="s">
        <v>970</v>
      </c>
      <c r="E27" s="495">
        <v>143</v>
      </c>
    </row>
    <row r="28" spans="1:5">
      <c r="A28" s="499" t="s">
        <v>419</v>
      </c>
      <c r="B28" s="499">
        <f>SUM(B21:B27)</f>
        <v>1702</v>
      </c>
      <c r="D28" s="494" t="s">
        <v>971</v>
      </c>
      <c r="E28" s="495">
        <v>160</v>
      </c>
    </row>
    <row r="29" spans="1:5">
      <c r="D29" s="494" t="s">
        <v>972</v>
      </c>
      <c r="E29" s="495">
        <v>174</v>
      </c>
    </row>
    <row r="30" spans="1:5" ht="17" thickBot="1">
      <c r="A30" s="502" t="s">
        <v>973</v>
      </c>
      <c r="B30" s="502">
        <f>B13+B28</f>
        <v>3768</v>
      </c>
      <c r="D30" s="497" t="s">
        <v>974</v>
      </c>
      <c r="E30" s="498">
        <v>130</v>
      </c>
    </row>
    <row r="31" spans="1:5">
      <c r="D31" s="499" t="s">
        <v>419</v>
      </c>
      <c r="E31" s="499">
        <f>SUM(E24:E30)</f>
        <v>2093</v>
      </c>
    </row>
    <row r="33" spans="1:5" ht="18">
      <c r="D33" s="105" t="s">
        <v>975</v>
      </c>
    </row>
    <row r="34" spans="1:5" ht="18">
      <c r="A34" s="105" t="s">
        <v>976</v>
      </c>
      <c r="D34" t="s">
        <v>977</v>
      </c>
    </row>
    <row r="35" spans="1:5" ht="14" thickBot="1">
      <c r="A35" t="s">
        <v>978</v>
      </c>
    </row>
    <row r="36" spans="1:5" ht="14" thickBot="1">
      <c r="D36" s="154" t="s">
        <v>936</v>
      </c>
      <c r="E36" s="491" t="s">
        <v>937</v>
      </c>
    </row>
    <row r="37" spans="1:5" ht="14" thickBot="1">
      <c r="A37" s="154" t="s">
        <v>936</v>
      </c>
      <c r="B37" s="491" t="s">
        <v>937</v>
      </c>
      <c r="D37" s="492" t="s">
        <v>979</v>
      </c>
      <c r="E37" s="493">
        <v>728</v>
      </c>
    </row>
    <row r="38" spans="1:5">
      <c r="A38" s="492" t="s">
        <v>980</v>
      </c>
      <c r="B38" s="493">
        <v>2049</v>
      </c>
      <c r="D38" s="494" t="s">
        <v>981</v>
      </c>
      <c r="E38" s="495">
        <v>463</v>
      </c>
    </row>
    <row r="39" spans="1:5">
      <c r="A39" s="494" t="s">
        <v>982</v>
      </c>
      <c r="B39" s="495">
        <v>529</v>
      </c>
      <c r="D39" s="494" t="s">
        <v>983</v>
      </c>
      <c r="E39" s="495">
        <v>58</v>
      </c>
    </row>
    <row r="40" spans="1:5">
      <c r="A40" s="494" t="s">
        <v>984</v>
      </c>
      <c r="B40" s="495">
        <v>141</v>
      </c>
      <c r="D40" s="494" t="s">
        <v>985</v>
      </c>
      <c r="E40" s="495">
        <v>93</v>
      </c>
    </row>
    <row r="41" spans="1:5">
      <c r="A41" s="494" t="s">
        <v>986</v>
      </c>
      <c r="B41" s="495">
        <v>75</v>
      </c>
      <c r="D41" s="494" t="s">
        <v>987</v>
      </c>
      <c r="E41" s="495">
        <v>58</v>
      </c>
    </row>
    <row r="42" spans="1:5">
      <c r="A42" s="494" t="s">
        <v>988</v>
      </c>
      <c r="B42" s="495">
        <v>45</v>
      </c>
      <c r="D42" s="494" t="s">
        <v>989</v>
      </c>
      <c r="E42" s="495">
        <f>140+133</f>
        <v>273</v>
      </c>
    </row>
    <row r="43" spans="1:5" ht="14" thickBot="1">
      <c r="A43" s="497" t="s">
        <v>990</v>
      </c>
      <c r="B43" s="503">
        <v>366</v>
      </c>
      <c r="D43" s="497" t="s">
        <v>991</v>
      </c>
      <c r="E43" s="498">
        <v>318</v>
      </c>
    </row>
    <row r="44" spans="1:5">
      <c r="A44" s="499" t="s">
        <v>419</v>
      </c>
      <c r="B44" s="499">
        <f>SUM(B38:B43)</f>
        <v>3205</v>
      </c>
      <c r="D44" s="499" t="s">
        <v>419</v>
      </c>
      <c r="E44" s="499">
        <f>SUM(E37:E43)</f>
        <v>1991</v>
      </c>
    </row>
    <row r="46" spans="1:5" ht="16">
      <c r="A46" s="103" t="s">
        <v>992</v>
      </c>
      <c r="C46" s="502" t="s">
        <v>993</v>
      </c>
      <c r="E46" s="502">
        <f>B44+E18+E31+E44</f>
        <v>10134</v>
      </c>
    </row>
    <row r="47" spans="1:5" ht="16">
      <c r="C47" s="502" t="s">
        <v>994</v>
      </c>
      <c r="E47" s="502">
        <f>B30+E46</f>
        <v>13902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39"/>
  <sheetViews>
    <sheetView topLeftCell="K2" zoomScale="75" workbookViewId="0">
      <selection activeCell="Q35" sqref="Q35"/>
    </sheetView>
  </sheetViews>
  <sheetFormatPr baseColWidth="10" defaultColWidth="8.83203125" defaultRowHeight="13" outlineLevelRow="2"/>
  <cols>
    <col min="1" max="1" width="11.5" customWidth="1"/>
    <col min="2" max="2" width="14" customWidth="1"/>
    <col min="3" max="3" width="5.33203125" style="4" customWidth="1"/>
    <col min="4" max="4" width="11.5" style="4" customWidth="1"/>
    <col min="5" max="5" width="15.5" hidden="1" customWidth="1"/>
    <col min="6" max="6" width="12.33203125" style="4" hidden="1" customWidth="1"/>
    <col min="7" max="9" width="6" bestFit="1" customWidth="1"/>
    <col min="11" max="11" width="68.5" customWidth="1"/>
    <col min="12" max="12" width="9.33203125" bestFit="1" customWidth="1"/>
    <col min="13" max="13" width="10.5" bestFit="1" customWidth="1"/>
    <col min="14" max="14" width="15.5" bestFit="1" customWidth="1"/>
    <col min="15" max="15" width="11.5" bestFit="1" customWidth="1"/>
  </cols>
  <sheetData>
    <row r="1" spans="1:15" ht="43" thickBot="1">
      <c r="A1" s="1132" t="s">
        <v>995</v>
      </c>
      <c r="B1" s="1084"/>
      <c r="C1" s="1084"/>
      <c r="D1" s="1084"/>
      <c r="E1" s="1084"/>
      <c r="F1" s="1084"/>
      <c r="G1" s="1084"/>
      <c r="H1" s="1084"/>
      <c r="I1" s="1084"/>
      <c r="K1" s="619" t="s">
        <v>996</v>
      </c>
      <c r="L1" s="620" t="s">
        <v>997</v>
      </c>
      <c r="M1" s="409" t="s">
        <v>998</v>
      </c>
      <c r="N1" s="409" t="s">
        <v>999</v>
      </c>
    </row>
    <row r="2" spans="1:15" ht="14" thickBot="1">
      <c r="A2" s="586" t="s">
        <v>1000</v>
      </c>
      <c r="B2" s="587" t="s">
        <v>1001</v>
      </c>
      <c r="C2" s="588" t="s">
        <v>1002</v>
      </c>
      <c r="D2" s="589" t="s">
        <v>1003</v>
      </c>
      <c r="E2" s="590" t="s">
        <v>1004</v>
      </c>
      <c r="F2" s="589" t="s">
        <v>1005</v>
      </c>
      <c r="G2" s="575" t="s">
        <v>1006</v>
      </c>
      <c r="H2" s="591" t="s">
        <v>1007</v>
      </c>
      <c r="I2" s="592" t="s">
        <v>1008</v>
      </c>
      <c r="K2" s="621" t="s">
        <v>1009</v>
      </c>
      <c r="L2" s="622"/>
      <c r="M2" s="623"/>
      <c r="N2" s="624"/>
    </row>
    <row r="3" spans="1:15" s="600" customFormat="1" outlineLevel="2">
      <c r="A3" s="593">
        <v>1</v>
      </c>
      <c r="B3" s="594" t="s">
        <v>1010</v>
      </c>
      <c r="C3" s="595">
        <v>11</v>
      </c>
      <c r="D3" s="596" t="s">
        <v>1011</v>
      </c>
      <c r="E3" s="597" t="s">
        <v>1012</v>
      </c>
      <c r="F3" s="596" t="s">
        <v>1013</v>
      </c>
      <c r="G3" s="598">
        <v>4</v>
      </c>
      <c r="H3" s="595">
        <v>4</v>
      </c>
      <c r="I3" s="599">
        <v>3</v>
      </c>
      <c r="K3" s="494" t="s">
        <v>1014</v>
      </c>
      <c r="L3" s="625">
        <v>30</v>
      </c>
      <c r="M3" s="626">
        <v>350</v>
      </c>
      <c r="N3" s="626">
        <f>L3*M3</f>
        <v>10500</v>
      </c>
    </row>
    <row r="4" spans="1:15" s="103" customFormat="1" ht="14" outlineLevel="1" thickBot="1">
      <c r="A4" s="601" t="s">
        <v>1015</v>
      </c>
      <c r="B4" s="602"/>
      <c r="C4" s="603">
        <f>SUBTOTAL(9,C3:C3)</f>
        <v>11</v>
      </c>
      <c r="D4" s="604"/>
      <c r="E4" s="605"/>
      <c r="F4" s="604"/>
      <c r="G4" s="606">
        <f>SUBTOTAL(9,G3:G3)</f>
        <v>4</v>
      </c>
      <c r="H4" s="131">
        <f>SUBTOTAL(9,H3:H3)</f>
        <v>4</v>
      </c>
      <c r="I4" s="152">
        <f>SUBTOTAL(9,I3:I3)</f>
        <v>3</v>
      </c>
      <c r="K4" s="494" t="s">
        <v>1016</v>
      </c>
      <c r="L4" s="627">
        <v>84</v>
      </c>
      <c r="M4" s="628">
        <v>430</v>
      </c>
      <c r="N4" s="626">
        <f>L4*M4</f>
        <v>36120</v>
      </c>
    </row>
    <row r="5" spans="1:15" outlineLevel="2">
      <c r="A5" s="607">
        <v>2</v>
      </c>
      <c r="B5" s="492" t="s">
        <v>415</v>
      </c>
      <c r="C5" s="273">
        <v>7</v>
      </c>
      <c r="D5" s="608" t="s">
        <v>1017</v>
      </c>
      <c r="E5" s="609" t="s">
        <v>1018</v>
      </c>
      <c r="F5" s="608" t="s">
        <v>1013</v>
      </c>
      <c r="G5" s="610">
        <v>5</v>
      </c>
      <c r="H5" s="273">
        <v>1</v>
      </c>
      <c r="I5" s="274">
        <v>1</v>
      </c>
      <c r="K5" s="494" t="s">
        <v>1019</v>
      </c>
      <c r="L5" s="627">
        <v>1</v>
      </c>
      <c r="M5" s="628">
        <v>18000</v>
      </c>
      <c r="N5" s="626">
        <f>L5*M5</f>
        <v>18000</v>
      </c>
    </row>
    <row r="6" spans="1:15" s="103" customFormat="1" ht="14" outlineLevel="1" thickBot="1">
      <c r="A6" s="601" t="s">
        <v>1020</v>
      </c>
      <c r="B6" s="611"/>
      <c r="C6" s="131">
        <f>SUBTOTAL(9,C5:C5)</f>
        <v>7</v>
      </c>
      <c r="D6" s="612"/>
      <c r="E6" s="613"/>
      <c r="F6" s="612"/>
      <c r="G6" s="606">
        <f>SUBTOTAL(9,G5:G5)</f>
        <v>5</v>
      </c>
      <c r="H6" s="131">
        <f>SUBTOTAL(9,H5:H5)</f>
        <v>1</v>
      </c>
      <c r="I6" s="152">
        <f>SUBTOTAL(9,I5:I5)</f>
        <v>1</v>
      </c>
      <c r="K6" s="497" t="s">
        <v>1021</v>
      </c>
      <c r="L6" s="629">
        <v>1</v>
      </c>
      <c r="M6" s="630">
        <v>15000</v>
      </c>
      <c r="N6" s="631">
        <f>L6*M6</f>
        <v>15000</v>
      </c>
    </row>
    <row r="7" spans="1:15" outlineLevel="2">
      <c r="A7" s="607">
        <v>3</v>
      </c>
      <c r="B7" s="492" t="s">
        <v>1022</v>
      </c>
      <c r="C7" s="273">
        <v>3</v>
      </c>
      <c r="D7" s="608" t="s">
        <v>1023</v>
      </c>
      <c r="E7" s="609" t="s">
        <v>1018</v>
      </c>
      <c r="F7" s="608" t="s">
        <v>1013</v>
      </c>
      <c r="G7" s="610">
        <v>0</v>
      </c>
      <c r="H7" s="273">
        <v>3</v>
      </c>
      <c r="I7" s="274">
        <v>0</v>
      </c>
      <c r="K7" s="621" t="s">
        <v>1024</v>
      </c>
      <c r="L7" s="576"/>
      <c r="M7" s="632"/>
      <c r="N7" s="633"/>
    </row>
    <row r="8" spans="1:15" outlineLevel="2">
      <c r="A8" s="614">
        <v>3</v>
      </c>
      <c r="B8" s="494" t="s">
        <v>1025</v>
      </c>
      <c r="C8" s="107">
        <v>5</v>
      </c>
      <c r="D8" s="490" t="s">
        <v>1026</v>
      </c>
      <c r="E8" s="2" t="s">
        <v>1018</v>
      </c>
      <c r="F8" s="490" t="s">
        <v>1013</v>
      </c>
      <c r="G8" s="189">
        <v>2</v>
      </c>
      <c r="H8" s="107">
        <v>2</v>
      </c>
      <c r="I8" s="615">
        <v>1</v>
      </c>
      <c r="K8" s="494" t="s">
        <v>1027</v>
      </c>
      <c r="L8" s="625">
        <v>67.5</v>
      </c>
      <c r="M8" s="626">
        <v>292</v>
      </c>
      <c r="N8" s="626">
        <f t="shared" ref="N8:N14" si="0">L8*M8</f>
        <v>19710</v>
      </c>
    </row>
    <row r="9" spans="1:15" s="103" customFormat="1" ht="14" outlineLevel="1" thickBot="1">
      <c r="A9" s="601" t="s">
        <v>1028</v>
      </c>
      <c r="B9" s="611"/>
      <c r="C9" s="131">
        <f>SUBTOTAL(9,C7:C8)</f>
        <v>8</v>
      </c>
      <c r="D9" s="612"/>
      <c r="E9" s="613"/>
      <c r="F9" s="612"/>
      <c r="G9" s="606">
        <f>SUBTOTAL(9,G7:G8)</f>
        <v>2</v>
      </c>
      <c r="H9" s="131">
        <f>SUBTOTAL(9,H7:H8)</f>
        <v>5</v>
      </c>
      <c r="I9" s="152">
        <f>SUBTOTAL(9,I7:I8)</f>
        <v>1</v>
      </c>
      <c r="K9" s="494" t="s">
        <v>1029</v>
      </c>
      <c r="L9" s="627">
        <v>45</v>
      </c>
      <c r="M9" s="628">
        <v>250</v>
      </c>
      <c r="N9" s="626">
        <f t="shared" si="0"/>
        <v>11250</v>
      </c>
    </row>
    <row r="10" spans="1:15" outlineLevel="2">
      <c r="A10" s="607">
        <v>4</v>
      </c>
      <c r="B10" s="492" t="s">
        <v>1030</v>
      </c>
      <c r="C10" s="273">
        <v>1</v>
      </c>
      <c r="D10" s="608" t="s">
        <v>1031</v>
      </c>
      <c r="E10" s="609" t="s">
        <v>1018</v>
      </c>
      <c r="F10" s="608" t="s">
        <v>1013</v>
      </c>
      <c r="G10" s="610">
        <v>0</v>
      </c>
      <c r="H10" s="273">
        <v>1</v>
      </c>
      <c r="I10" s="274">
        <v>0</v>
      </c>
      <c r="K10" s="494" t="s">
        <v>1032</v>
      </c>
      <c r="L10" s="627">
        <v>72</v>
      </c>
      <c r="M10" s="628">
        <v>192</v>
      </c>
      <c r="N10" s="626">
        <f t="shared" si="0"/>
        <v>13824</v>
      </c>
    </row>
    <row r="11" spans="1:15" outlineLevel="2">
      <c r="A11" s="614">
        <v>4</v>
      </c>
      <c r="B11" s="494" t="s">
        <v>963</v>
      </c>
      <c r="C11" s="107">
        <v>7</v>
      </c>
      <c r="D11" s="490" t="s">
        <v>1033</v>
      </c>
      <c r="E11" s="2" t="s">
        <v>1018</v>
      </c>
      <c r="F11" s="490" t="s">
        <v>1013</v>
      </c>
      <c r="G11" s="189">
        <v>5</v>
      </c>
      <c r="H11" s="107">
        <v>2</v>
      </c>
      <c r="I11" s="615">
        <v>0</v>
      </c>
      <c r="K11" s="494" t="s">
        <v>1034</v>
      </c>
      <c r="L11" s="627">
        <v>40.5</v>
      </c>
      <c r="M11" s="628">
        <v>165</v>
      </c>
      <c r="N11" s="626">
        <f t="shared" si="0"/>
        <v>6682.5</v>
      </c>
    </row>
    <row r="12" spans="1:15" outlineLevel="2">
      <c r="A12" s="614">
        <v>4</v>
      </c>
      <c r="B12" s="494" t="s">
        <v>951</v>
      </c>
      <c r="C12" s="107">
        <v>5</v>
      </c>
      <c r="D12" s="490" t="s">
        <v>1035</v>
      </c>
      <c r="E12" s="2" t="s">
        <v>1018</v>
      </c>
      <c r="F12" s="490" t="s">
        <v>1013</v>
      </c>
      <c r="G12" s="189">
        <v>2</v>
      </c>
      <c r="H12" s="107">
        <v>1</v>
      </c>
      <c r="I12" s="615">
        <v>2</v>
      </c>
      <c r="K12" s="494" t="s">
        <v>1036</v>
      </c>
      <c r="L12" s="627">
        <v>63</v>
      </c>
      <c r="M12" s="628">
        <v>105</v>
      </c>
      <c r="N12" s="626">
        <f t="shared" si="0"/>
        <v>6615</v>
      </c>
    </row>
    <row r="13" spans="1:15" s="103" customFormat="1" ht="14" outlineLevel="1" thickBot="1">
      <c r="A13" s="601" t="s">
        <v>1037</v>
      </c>
      <c r="B13" s="611"/>
      <c r="C13" s="131">
        <f>SUBTOTAL(9,C10:C12)</f>
        <v>13</v>
      </c>
      <c r="D13" s="612"/>
      <c r="E13" s="613"/>
      <c r="F13" s="612"/>
      <c r="G13" s="606">
        <f>SUBTOTAL(9,G10:G12)</f>
        <v>7</v>
      </c>
      <c r="H13" s="131">
        <f>SUBTOTAL(9,H10:H12)</f>
        <v>4</v>
      </c>
      <c r="I13" s="152">
        <f>SUBTOTAL(9,I10:I12)</f>
        <v>2</v>
      </c>
      <c r="K13" s="494" t="s">
        <v>1038</v>
      </c>
      <c r="L13" s="627">
        <v>63</v>
      </c>
      <c r="M13" s="628">
        <v>215</v>
      </c>
      <c r="N13" s="626">
        <f t="shared" si="0"/>
        <v>13545</v>
      </c>
    </row>
    <row r="14" spans="1:15" ht="14" outlineLevel="2" thickBot="1">
      <c r="A14" s="607">
        <v>5</v>
      </c>
      <c r="B14" s="492" t="s">
        <v>967</v>
      </c>
      <c r="C14" s="273">
        <v>4</v>
      </c>
      <c r="D14" s="608" t="s">
        <v>1039</v>
      </c>
      <c r="E14" s="609" t="s">
        <v>1018</v>
      </c>
      <c r="F14" s="608" t="s">
        <v>1013</v>
      </c>
      <c r="G14" s="610">
        <v>2</v>
      </c>
      <c r="H14" s="273">
        <v>2</v>
      </c>
      <c r="I14" s="274">
        <v>0</v>
      </c>
      <c r="K14" s="497" t="s">
        <v>1040</v>
      </c>
      <c r="L14" s="629">
        <v>49.5</v>
      </c>
      <c r="M14" s="630">
        <v>2950</v>
      </c>
      <c r="N14" s="631">
        <f t="shared" si="0"/>
        <v>146025</v>
      </c>
    </row>
    <row r="15" spans="1:15" outlineLevel="2">
      <c r="A15" s="614">
        <v>5</v>
      </c>
      <c r="B15" s="494" t="s">
        <v>969</v>
      </c>
      <c r="C15" s="107">
        <v>3</v>
      </c>
      <c r="D15" s="490" t="s">
        <v>1041</v>
      </c>
      <c r="E15" s="2" t="s">
        <v>1018</v>
      </c>
      <c r="F15" s="490" t="s">
        <v>1013</v>
      </c>
      <c r="G15" s="189">
        <v>2</v>
      </c>
      <c r="H15" s="107">
        <v>1</v>
      </c>
      <c r="I15" s="615">
        <v>0</v>
      </c>
      <c r="K15" s="621" t="s">
        <v>1042</v>
      </c>
      <c r="L15" s="634"/>
      <c r="M15" s="635"/>
      <c r="N15" s="636"/>
      <c r="O15" s="150">
        <f>SUM(N3:N14)</f>
        <v>297271.5</v>
      </c>
    </row>
    <row r="16" spans="1:15" outlineLevel="2">
      <c r="A16" s="614">
        <v>5</v>
      </c>
      <c r="B16" s="494" t="s">
        <v>964</v>
      </c>
      <c r="C16" s="107">
        <v>5</v>
      </c>
      <c r="D16" s="490" t="s">
        <v>1043</v>
      </c>
      <c r="E16" s="2" t="s">
        <v>1018</v>
      </c>
      <c r="F16" s="490" t="s">
        <v>1013</v>
      </c>
      <c r="G16" s="189">
        <v>4</v>
      </c>
      <c r="H16" s="107">
        <v>0</v>
      </c>
      <c r="I16" s="615">
        <v>1</v>
      </c>
      <c r="K16" s="637" t="s">
        <v>1044</v>
      </c>
      <c r="L16" s="625">
        <v>84</v>
      </c>
      <c r="M16" s="626">
        <v>4500</v>
      </c>
      <c r="N16" s="626">
        <f>L16*M16</f>
        <v>378000</v>
      </c>
    </row>
    <row r="17" spans="1:14" outlineLevel="2">
      <c r="A17" s="614">
        <v>5</v>
      </c>
      <c r="B17" s="494" t="s">
        <v>1045</v>
      </c>
      <c r="C17" s="107">
        <v>3</v>
      </c>
      <c r="D17" s="490" t="s">
        <v>1046</v>
      </c>
      <c r="E17" s="2" t="s">
        <v>1018</v>
      </c>
      <c r="F17" s="490" t="s">
        <v>1013</v>
      </c>
      <c r="G17" s="189">
        <v>1</v>
      </c>
      <c r="H17" s="107">
        <v>2</v>
      </c>
      <c r="I17" s="615">
        <v>0</v>
      </c>
      <c r="K17" s="494" t="s">
        <v>1047</v>
      </c>
      <c r="L17" s="627">
        <v>84</v>
      </c>
      <c r="M17" s="628">
        <v>5000</v>
      </c>
      <c r="N17" s="626">
        <f t="shared" ref="N17:N30" si="1">L17*M17</f>
        <v>420000</v>
      </c>
    </row>
    <row r="18" spans="1:14" outlineLevel="2">
      <c r="A18" s="614">
        <v>5</v>
      </c>
      <c r="B18" s="494" t="s">
        <v>939</v>
      </c>
      <c r="C18" s="107">
        <v>7</v>
      </c>
      <c r="D18" s="490" t="s">
        <v>1048</v>
      </c>
      <c r="E18" s="2" t="s">
        <v>1018</v>
      </c>
      <c r="F18" s="490" t="s">
        <v>1013</v>
      </c>
      <c r="G18" s="189">
        <v>2</v>
      </c>
      <c r="H18" s="107">
        <v>4</v>
      </c>
      <c r="I18" s="615">
        <v>1</v>
      </c>
      <c r="K18" s="494" t="s">
        <v>1049</v>
      </c>
      <c r="L18" s="627">
        <v>84</v>
      </c>
      <c r="M18" s="628">
        <v>500</v>
      </c>
      <c r="N18" s="626">
        <f t="shared" si="1"/>
        <v>42000</v>
      </c>
    </row>
    <row r="19" spans="1:14" s="103" customFormat="1" ht="14" outlineLevel="1" thickBot="1">
      <c r="A19" s="601" t="s">
        <v>1050</v>
      </c>
      <c r="B19" s="611"/>
      <c r="C19" s="131">
        <f>SUBTOTAL(9,C14:C18)</f>
        <v>22</v>
      </c>
      <c r="D19" s="612"/>
      <c r="E19" s="613"/>
      <c r="F19" s="612"/>
      <c r="G19" s="606">
        <f>SUBTOTAL(9,G14:G18)</f>
        <v>11</v>
      </c>
      <c r="H19" s="131">
        <f>SUBTOTAL(9,H14:H18)</f>
        <v>9</v>
      </c>
      <c r="I19" s="152">
        <f>SUBTOTAL(9,I14:I18)</f>
        <v>2</v>
      </c>
      <c r="K19" s="638" t="s">
        <v>1051</v>
      </c>
      <c r="L19" s="639">
        <v>120</v>
      </c>
      <c r="M19" s="640">
        <v>10</v>
      </c>
      <c r="N19" s="626">
        <f t="shared" si="1"/>
        <v>1200</v>
      </c>
    </row>
    <row r="20" spans="1:14" outlineLevel="2">
      <c r="A20" s="607">
        <v>6</v>
      </c>
      <c r="B20" s="492" t="s">
        <v>1052</v>
      </c>
      <c r="C20" s="273">
        <v>3</v>
      </c>
      <c r="D20" s="608" t="s">
        <v>1053</v>
      </c>
      <c r="E20" s="609" t="s">
        <v>1018</v>
      </c>
      <c r="F20" s="608" t="s">
        <v>1013</v>
      </c>
      <c r="G20" s="610">
        <v>1</v>
      </c>
      <c r="H20" s="273">
        <v>2</v>
      </c>
      <c r="I20" s="274">
        <v>0</v>
      </c>
      <c r="K20" s="494" t="s">
        <v>1054</v>
      </c>
      <c r="L20" s="627">
        <v>120</v>
      </c>
      <c r="M20" s="628">
        <v>25</v>
      </c>
      <c r="N20" s="626">
        <f t="shared" si="1"/>
        <v>3000</v>
      </c>
    </row>
    <row r="21" spans="1:14" outlineLevel="2">
      <c r="A21" s="614">
        <v>6</v>
      </c>
      <c r="B21" s="494" t="s">
        <v>1055</v>
      </c>
      <c r="C21" s="107">
        <v>4</v>
      </c>
      <c r="D21" s="490" t="s">
        <v>1056</v>
      </c>
      <c r="E21" s="2" t="s">
        <v>1018</v>
      </c>
      <c r="F21" s="490" t="s">
        <v>1013</v>
      </c>
      <c r="G21" s="189">
        <v>2</v>
      </c>
      <c r="H21" s="107">
        <v>1</v>
      </c>
      <c r="I21" s="615">
        <v>1</v>
      </c>
      <c r="K21" s="494" t="s">
        <v>1057</v>
      </c>
      <c r="L21" s="627">
        <v>100</v>
      </c>
      <c r="M21" s="628">
        <v>35</v>
      </c>
      <c r="N21" s="626">
        <f t="shared" si="1"/>
        <v>3500</v>
      </c>
    </row>
    <row r="22" spans="1:14" outlineLevel="2">
      <c r="A22" s="614">
        <v>6</v>
      </c>
      <c r="B22" s="494" t="s">
        <v>949</v>
      </c>
      <c r="C22" s="107">
        <v>5</v>
      </c>
      <c r="D22" s="490" t="s">
        <v>1058</v>
      </c>
      <c r="E22" s="2" t="s">
        <v>1018</v>
      </c>
      <c r="F22" s="490" t="s">
        <v>1013</v>
      </c>
      <c r="G22" s="189">
        <v>3</v>
      </c>
      <c r="H22" s="107">
        <v>0</v>
      </c>
      <c r="I22" s="615">
        <v>2</v>
      </c>
      <c r="K22" s="494" t="s">
        <v>1059</v>
      </c>
      <c r="L22" s="627">
        <v>200</v>
      </c>
      <c r="M22" s="628">
        <v>32</v>
      </c>
      <c r="N22" s="626">
        <f t="shared" si="1"/>
        <v>6400</v>
      </c>
    </row>
    <row r="23" spans="1:14" outlineLevel="2">
      <c r="A23" s="614">
        <v>6</v>
      </c>
      <c r="B23" s="494" t="s">
        <v>947</v>
      </c>
      <c r="C23" s="107">
        <v>5</v>
      </c>
      <c r="D23" s="490" t="s">
        <v>1060</v>
      </c>
      <c r="E23" s="2" t="s">
        <v>1018</v>
      </c>
      <c r="F23" s="490" t="s">
        <v>1013</v>
      </c>
      <c r="G23" s="189">
        <v>5</v>
      </c>
      <c r="H23" s="107">
        <v>0</v>
      </c>
      <c r="I23" s="615">
        <v>0</v>
      </c>
      <c r="K23" s="494" t="s">
        <v>1061</v>
      </c>
      <c r="L23" s="627">
        <v>40</v>
      </c>
      <c r="M23" s="628">
        <v>3</v>
      </c>
      <c r="N23" s="626">
        <f t="shared" si="1"/>
        <v>120</v>
      </c>
    </row>
    <row r="24" spans="1:14" outlineLevel="2">
      <c r="A24" s="614">
        <v>6</v>
      </c>
      <c r="B24" s="494" t="s">
        <v>942</v>
      </c>
      <c r="C24" s="107">
        <v>6</v>
      </c>
      <c r="D24" s="490" t="s">
        <v>1062</v>
      </c>
      <c r="E24" s="2" t="s">
        <v>1018</v>
      </c>
      <c r="F24" s="490" t="s">
        <v>1013</v>
      </c>
      <c r="G24" s="189">
        <v>5</v>
      </c>
      <c r="H24" s="107">
        <v>1</v>
      </c>
      <c r="I24" s="615">
        <v>0</v>
      </c>
      <c r="K24" s="494" t="s">
        <v>1063</v>
      </c>
      <c r="L24" s="627">
        <v>40</v>
      </c>
      <c r="M24" s="628">
        <v>40</v>
      </c>
      <c r="N24" s="626">
        <f t="shared" si="1"/>
        <v>1600</v>
      </c>
    </row>
    <row r="25" spans="1:14" s="103" customFormat="1" ht="14" outlineLevel="1" thickBot="1">
      <c r="A25" s="601" t="s">
        <v>1064</v>
      </c>
      <c r="B25" s="611"/>
      <c r="C25" s="131">
        <f>SUBTOTAL(9,C20:C24)</f>
        <v>23</v>
      </c>
      <c r="D25" s="612"/>
      <c r="E25" s="613"/>
      <c r="F25" s="612"/>
      <c r="G25" s="606">
        <f>SUBTOTAL(9,G20:G24)</f>
        <v>16</v>
      </c>
      <c r="H25" s="131">
        <f>SUBTOTAL(9,H20:H24)</f>
        <v>4</v>
      </c>
      <c r="I25" s="152">
        <f>SUBTOTAL(9,I20:I24)</f>
        <v>3</v>
      </c>
      <c r="K25" s="641" t="s">
        <v>1065</v>
      </c>
      <c r="L25" s="642">
        <v>1</v>
      </c>
      <c r="M25" s="643">
        <v>1000</v>
      </c>
      <c r="N25" s="644">
        <f t="shared" si="1"/>
        <v>1000</v>
      </c>
    </row>
    <row r="26" spans="1:14" s="103" customFormat="1" ht="14" thickBot="1">
      <c r="A26" s="616" t="s">
        <v>1066</v>
      </c>
      <c r="B26" s="602"/>
      <c r="C26" s="603">
        <f>SUBTOTAL(9,C3:C24)</f>
        <v>84</v>
      </c>
      <c r="D26" s="604"/>
      <c r="E26" s="605"/>
      <c r="F26" s="604"/>
      <c r="G26" s="133">
        <f>SUBTOTAL(9,G3:G24)</f>
        <v>45</v>
      </c>
      <c r="H26" s="603">
        <f>SUBTOTAL(9,H3:H24)</f>
        <v>27</v>
      </c>
      <c r="I26" s="617">
        <f>SUBTOTAL(9,I3:I24)</f>
        <v>12</v>
      </c>
      <c r="K26" s="641" t="s">
        <v>1067</v>
      </c>
      <c r="L26" s="642">
        <v>39</v>
      </c>
      <c r="M26" s="643">
        <v>350</v>
      </c>
      <c r="N26" s="644">
        <f t="shared" si="1"/>
        <v>13650</v>
      </c>
    </row>
    <row r="27" spans="1:14">
      <c r="C27" s="618"/>
      <c r="G27" s="618"/>
      <c r="H27" s="618"/>
      <c r="I27" s="618"/>
      <c r="K27" s="494" t="s">
        <v>1068</v>
      </c>
      <c r="L27" s="627">
        <v>84</v>
      </c>
      <c r="M27" s="628">
        <v>1300</v>
      </c>
      <c r="N27" s="628">
        <f>L27*M27</f>
        <v>109200</v>
      </c>
    </row>
    <row r="28" spans="1:14">
      <c r="B28" s="964" t="s">
        <v>1069</v>
      </c>
      <c r="E28" s="359"/>
      <c r="K28" s="494" t="s">
        <v>1070</v>
      </c>
      <c r="L28" s="627">
        <v>1</v>
      </c>
      <c r="M28" s="628">
        <v>6500</v>
      </c>
      <c r="N28" s="628">
        <f>L28*M28</f>
        <v>6500</v>
      </c>
    </row>
    <row r="29" spans="1:14">
      <c r="B29" s="964" t="s">
        <v>1006</v>
      </c>
      <c r="C29" s="1131" t="s">
        <v>1071</v>
      </c>
      <c r="D29" s="1131"/>
      <c r="E29" s="1131"/>
      <c r="F29" s="1131"/>
      <c r="G29" s="1123"/>
      <c r="H29" s="1123"/>
      <c r="I29" s="1123"/>
      <c r="K29" s="494" t="s">
        <v>1072</v>
      </c>
      <c r="L29" s="627">
        <v>84</v>
      </c>
      <c r="M29" s="628">
        <v>100</v>
      </c>
      <c r="N29" s="628">
        <f t="shared" si="1"/>
        <v>8400</v>
      </c>
    </row>
    <row r="30" spans="1:14" ht="14" thickBot="1">
      <c r="B30" s="964" t="s">
        <v>1007</v>
      </c>
      <c r="C30" s="1131" t="s">
        <v>1073</v>
      </c>
      <c r="D30" s="1131"/>
      <c r="E30" s="1131"/>
      <c r="F30" s="1131"/>
      <c r="G30" s="1123"/>
      <c r="H30" s="1123"/>
      <c r="I30" s="1123"/>
      <c r="K30" s="497" t="s">
        <v>1074</v>
      </c>
      <c r="L30" s="629">
        <v>1</v>
      </c>
      <c r="M30" s="630">
        <v>20000</v>
      </c>
      <c r="N30" s="630">
        <f t="shared" si="1"/>
        <v>20000</v>
      </c>
    </row>
    <row r="31" spans="1:14">
      <c r="B31" s="964" t="s">
        <v>1008</v>
      </c>
      <c r="C31" s="1131" t="s">
        <v>1075</v>
      </c>
      <c r="D31" s="1131"/>
      <c r="E31" s="1131"/>
      <c r="F31" s="1131"/>
      <c r="G31" s="1123"/>
      <c r="H31" s="1123"/>
      <c r="I31" s="1123"/>
      <c r="K31" s="621" t="s">
        <v>1076</v>
      </c>
      <c r="L31" s="645"/>
      <c r="M31" s="646"/>
      <c r="N31" s="647">
        <f>SUM(N2:N30)</f>
        <v>1311841.5</v>
      </c>
    </row>
    <row r="32" spans="1:14">
      <c r="B32" s="4"/>
      <c r="K32" s="648" t="s">
        <v>1077</v>
      </c>
      <c r="L32" s="398"/>
      <c r="M32" s="649"/>
      <c r="N32" s="650">
        <f>N31/100*21</f>
        <v>275486.71500000003</v>
      </c>
    </row>
    <row r="33" spans="3:14" ht="14" thickBot="1">
      <c r="K33" s="611" t="s">
        <v>1078</v>
      </c>
      <c r="L33" s="651"/>
      <c r="M33" s="652"/>
      <c r="N33" s="653">
        <f>SUM(N31:N32)</f>
        <v>1587328.2150000001</v>
      </c>
    </row>
    <row r="34" spans="3:14" ht="14" thickBot="1"/>
    <row r="35" spans="3:14" ht="13.5" customHeight="1">
      <c r="K35" s="654" t="s">
        <v>1079</v>
      </c>
      <c r="L35" s="655"/>
      <c r="M35" s="655"/>
      <c r="N35" s="656">
        <f>28000*1.21</f>
        <v>33880</v>
      </c>
    </row>
    <row r="36" spans="3:14" s="103" customFormat="1" ht="14" thickBot="1">
      <c r="C36" s="213"/>
      <c r="D36" s="213"/>
      <c r="F36" s="213"/>
      <c r="K36" s="657" t="s">
        <v>1080</v>
      </c>
      <c r="L36" s="658"/>
      <c r="M36" s="658"/>
      <c r="N36" s="659">
        <f>ROUND((N33+N35),0)</f>
        <v>1621208</v>
      </c>
    </row>
    <row r="37" spans="3:14" s="266" customFormat="1" ht="16">
      <c r="C37" s="679"/>
      <c r="D37" s="679"/>
      <c r="F37" s="679"/>
      <c r="K37" s="502" t="s">
        <v>1081</v>
      </c>
      <c r="N37" s="965">
        <f>0.95*N36-1</f>
        <v>1540146.5999999999</v>
      </c>
    </row>
    <row r="38" spans="3:14" ht="16">
      <c r="K38" s="502" t="s">
        <v>1082</v>
      </c>
      <c r="N38" s="249">
        <f>0.95*N37</f>
        <v>1463139.2699999998</v>
      </c>
    </row>
    <row r="39" spans="3:14">
      <c r="N39" s="249">
        <f>N37-N38</f>
        <v>77007.330000000075</v>
      </c>
    </row>
  </sheetData>
  <mergeCells count="4">
    <mergeCell ref="C31:I31"/>
    <mergeCell ref="A1:I1"/>
    <mergeCell ref="C29:I29"/>
    <mergeCell ref="C30:I30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43"/>
  <sheetViews>
    <sheetView zoomScale="75" workbookViewId="0">
      <selection activeCell="Z25" sqref="Z25"/>
    </sheetView>
  </sheetViews>
  <sheetFormatPr baseColWidth="10" defaultColWidth="8.83203125" defaultRowHeight="13"/>
  <cols>
    <col min="1" max="1" width="9.33203125" customWidth="1"/>
    <col min="2" max="2" width="12.6640625" bestFit="1" customWidth="1"/>
    <col min="3" max="3" width="8.33203125" customWidth="1"/>
    <col min="4" max="6" width="5.5" customWidth="1"/>
    <col min="7" max="8" width="5.6640625" customWidth="1"/>
    <col min="9" max="9" width="5.33203125" customWidth="1"/>
    <col min="10" max="12" width="5.6640625" customWidth="1"/>
    <col min="13" max="13" width="11.6640625" customWidth="1"/>
    <col min="14" max="14" width="10.6640625" style="4" hidden="1" customWidth="1"/>
    <col min="15" max="15" width="7.5" style="4" hidden="1" customWidth="1"/>
    <col min="16" max="16" width="6.5" style="4" hidden="1" customWidth="1"/>
    <col min="17" max="17" width="14.5" style="4" customWidth="1"/>
    <col min="18" max="20" width="11.6640625" customWidth="1"/>
    <col min="21" max="21" width="11.5" customWidth="1"/>
    <col min="22" max="22" width="11.6640625" customWidth="1"/>
    <col min="23" max="23" width="13.5" customWidth="1"/>
    <col min="24" max="24" width="11.6640625" customWidth="1"/>
    <col min="25" max="25" width="11.83203125" customWidth="1"/>
    <col min="26" max="26" width="10.83203125" customWidth="1"/>
  </cols>
  <sheetData>
    <row r="1" spans="1:26" ht="17" thickBot="1">
      <c r="A1" s="1133" t="s">
        <v>1083</v>
      </c>
      <c r="B1" s="1134"/>
      <c r="C1" s="1134"/>
      <c r="D1" s="1134"/>
      <c r="E1" s="1134"/>
      <c r="F1" s="1134"/>
      <c r="G1" s="1134"/>
      <c r="H1" s="1134"/>
      <c r="I1" s="1134"/>
      <c r="J1" s="1134"/>
      <c r="K1" s="1134"/>
      <c r="L1" s="1134"/>
      <c r="M1" s="1135"/>
      <c r="N1" s="1136"/>
      <c r="O1" s="407"/>
      <c r="P1" s="407"/>
      <c r="Q1" s="407"/>
    </row>
    <row r="2" spans="1:26" ht="29" thickBot="1">
      <c r="A2" s="216" t="s">
        <v>376</v>
      </c>
      <c r="B2" s="217" t="s">
        <v>823</v>
      </c>
      <c r="C2" s="217" t="s">
        <v>823</v>
      </c>
      <c r="D2" s="218" t="s">
        <v>1084</v>
      </c>
      <c r="E2" s="218" t="s">
        <v>1085</v>
      </c>
      <c r="F2" s="221" t="s">
        <v>1086</v>
      </c>
      <c r="G2" s="218" t="s">
        <v>1087</v>
      </c>
      <c r="H2" s="218" t="s">
        <v>1088</v>
      </c>
      <c r="I2" s="218" t="s">
        <v>1089</v>
      </c>
      <c r="J2" s="221" t="s">
        <v>1090</v>
      </c>
      <c r="K2" s="218" t="s">
        <v>1091</v>
      </c>
      <c r="L2" s="218" t="s">
        <v>1092</v>
      </c>
      <c r="M2" s="215" t="s">
        <v>1093</v>
      </c>
      <c r="N2" s="222" t="s">
        <v>1094</v>
      </c>
      <c r="O2" s="408" t="s">
        <v>1095</v>
      </c>
      <c r="P2" s="408"/>
      <c r="Q2" s="409" t="s">
        <v>1096</v>
      </c>
      <c r="R2" s="216" t="s">
        <v>1084</v>
      </c>
      <c r="S2" s="218" t="s">
        <v>1085</v>
      </c>
      <c r="T2" s="218" t="s">
        <v>1086</v>
      </c>
      <c r="U2" s="218" t="s">
        <v>1087</v>
      </c>
      <c r="V2" s="392" t="s">
        <v>1088</v>
      </c>
      <c r="W2" s="392" t="s">
        <v>1089</v>
      </c>
      <c r="X2" s="392" t="s">
        <v>1090</v>
      </c>
      <c r="Y2" s="392" t="s">
        <v>1091</v>
      </c>
      <c r="Z2" s="392" t="s">
        <v>1092</v>
      </c>
    </row>
    <row r="3" spans="1:26">
      <c r="A3" s="410">
        <v>80</v>
      </c>
      <c r="B3" s="197" t="s">
        <v>832</v>
      </c>
      <c r="C3" s="411">
        <v>52</v>
      </c>
      <c r="D3" s="412"/>
      <c r="E3" s="412"/>
      <c r="F3" s="413"/>
      <c r="G3" s="412"/>
      <c r="H3" s="412"/>
      <c r="I3" s="412">
        <v>11</v>
      </c>
      <c r="J3" s="412">
        <v>11</v>
      </c>
      <c r="K3" s="412">
        <v>11</v>
      </c>
      <c r="L3" s="412"/>
      <c r="M3" s="414">
        <v>1100</v>
      </c>
      <c r="N3" s="226">
        <f>M3*1.15</f>
        <v>1265</v>
      </c>
      <c r="O3" s="415"/>
      <c r="P3" s="416">
        <f t="shared" ref="P3:P10" si="0">Q3/N3</f>
        <v>1.1857707509881423</v>
      </c>
      <c r="Q3" s="417">
        <f>ROUND((1.21*N3)/100,0)*100</f>
        <v>1500</v>
      </c>
      <c r="R3" s="223"/>
      <c r="S3" s="224"/>
      <c r="T3" s="224"/>
      <c r="U3" s="224"/>
      <c r="V3" s="225"/>
      <c r="W3" s="397">
        <f>I3*M3/4</f>
        <v>3025</v>
      </c>
      <c r="X3" s="397">
        <f>J3*M3/4</f>
        <v>3025</v>
      </c>
      <c r="Y3" s="397">
        <f>K3*M3/4</f>
        <v>3025</v>
      </c>
      <c r="Z3" s="397">
        <f>L3*M3/4</f>
        <v>0</v>
      </c>
    </row>
    <row r="4" spans="1:26">
      <c r="A4" s="173">
        <v>80</v>
      </c>
      <c r="B4" s="2" t="s">
        <v>833</v>
      </c>
      <c r="C4" s="418">
        <v>26</v>
      </c>
      <c r="D4" s="393"/>
      <c r="E4" s="393"/>
      <c r="F4" s="394"/>
      <c r="G4" s="393"/>
      <c r="H4" s="393"/>
      <c r="I4" s="393">
        <v>18</v>
      </c>
      <c r="J4" s="393">
        <v>18</v>
      </c>
      <c r="K4" s="393">
        <v>18</v>
      </c>
      <c r="L4" s="393"/>
      <c r="M4" s="190">
        <v>580</v>
      </c>
      <c r="N4" s="226">
        <f t="shared" ref="N4:N10" si="1">M4*1.15</f>
        <v>667</v>
      </c>
      <c r="O4" s="419"/>
      <c r="P4" s="416">
        <f t="shared" si="0"/>
        <v>1.214392803598201</v>
      </c>
      <c r="Q4" s="420">
        <f>ROUND((1.21*N4)/10,0)*10</f>
        <v>810</v>
      </c>
      <c r="R4" s="173"/>
      <c r="S4" s="393"/>
      <c r="T4" s="393"/>
      <c r="U4" s="393"/>
      <c r="V4" s="395"/>
      <c r="W4" s="696">
        <f t="shared" ref="W4:W10" si="2">I4*M4/4</f>
        <v>2610</v>
      </c>
      <c r="X4" s="397">
        <f t="shared" ref="X4:X10" si="3">J4*M4/4</f>
        <v>2610</v>
      </c>
      <c r="Y4" s="397">
        <f t="shared" ref="Y4:Y10" si="4">K4*M4/4</f>
        <v>2610</v>
      </c>
      <c r="Z4" s="397">
        <f t="shared" ref="Z4:Z10" si="5">L4*M4/4</f>
        <v>0</v>
      </c>
    </row>
    <row r="5" spans="1:26">
      <c r="A5" s="196">
        <v>120</v>
      </c>
      <c r="B5" s="197" t="s">
        <v>832</v>
      </c>
      <c r="C5" s="198">
        <v>52</v>
      </c>
      <c r="D5" s="219">
        <v>302</v>
      </c>
      <c r="E5" s="207">
        <v>302</v>
      </c>
      <c r="F5" s="210">
        <v>294</v>
      </c>
      <c r="G5" s="207">
        <v>296</v>
      </c>
      <c r="H5" s="219">
        <v>298</v>
      </c>
      <c r="I5" s="219">
        <v>270</v>
      </c>
      <c r="J5" s="219">
        <v>274</v>
      </c>
      <c r="K5" s="219">
        <v>274</v>
      </c>
      <c r="L5" s="219"/>
      <c r="M5" s="199">
        <v>1612</v>
      </c>
      <c r="N5" s="226">
        <f t="shared" si="1"/>
        <v>1853.8</v>
      </c>
      <c r="O5" s="416">
        <f t="shared" ref="O5:O10" si="6">SUM(D5:G5)/4</f>
        <v>298.5</v>
      </c>
      <c r="P5" s="416">
        <f t="shared" si="0"/>
        <v>1.2137231632322796</v>
      </c>
      <c r="Q5" s="421">
        <v>2250</v>
      </c>
      <c r="R5" s="396">
        <f t="shared" ref="R5:R10" si="7">D5*M5/4</f>
        <v>121706</v>
      </c>
      <c r="S5" s="199">
        <f t="shared" ref="S5:S10" si="8">E5*M5/4</f>
        <v>121706</v>
      </c>
      <c r="T5" s="199">
        <f>F5*M5/4</f>
        <v>118482</v>
      </c>
      <c r="U5" s="199">
        <f>G5*M5/4</f>
        <v>119288</v>
      </c>
      <c r="V5" s="397">
        <f>H5*M5/4</f>
        <v>120094</v>
      </c>
      <c r="W5" s="397">
        <f t="shared" si="2"/>
        <v>108810</v>
      </c>
      <c r="X5" s="397">
        <f t="shared" si="3"/>
        <v>110422</v>
      </c>
      <c r="Y5" s="397">
        <f t="shared" si="4"/>
        <v>110422</v>
      </c>
      <c r="Z5" s="397">
        <f t="shared" si="5"/>
        <v>0</v>
      </c>
    </row>
    <row r="6" spans="1:26">
      <c r="A6" s="189">
        <v>120</v>
      </c>
      <c r="B6" s="2" t="s">
        <v>833</v>
      </c>
      <c r="C6" s="107">
        <v>26</v>
      </c>
      <c r="D6" s="219">
        <v>290</v>
      </c>
      <c r="E6" s="206">
        <v>290</v>
      </c>
      <c r="F6" s="209">
        <v>307</v>
      </c>
      <c r="G6" s="206">
        <v>310</v>
      </c>
      <c r="H6" s="220">
        <v>312</v>
      </c>
      <c r="I6" s="220">
        <v>293</v>
      </c>
      <c r="J6" s="220">
        <v>301</v>
      </c>
      <c r="K6" s="220">
        <v>301</v>
      </c>
      <c r="L6" s="220"/>
      <c r="M6" s="190">
        <v>971</v>
      </c>
      <c r="N6" s="226">
        <f t="shared" si="1"/>
        <v>1116.6499999999999</v>
      </c>
      <c r="O6" s="416">
        <f t="shared" si="6"/>
        <v>299.25</v>
      </c>
      <c r="P6" s="416">
        <f t="shared" si="0"/>
        <v>1.2089732682577354</v>
      </c>
      <c r="Q6" s="420">
        <v>1350</v>
      </c>
      <c r="R6" s="227">
        <f t="shared" si="7"/>
        <v>70397.5</v>
      </c>
      <c r="S6" s="190">
        <f t="shared" si="8"/>
        <v>70397.5</v>
      </c>
      <c r="T6" s="190">
        <f t="shared" ref="T6:T18" si="9">F6*M6/4</f>
        <v>74524.25</v>
      </c>
      <c r="U6" s="190">
        <f t="shared" ref="U6:U18" si="10">G6*M6/4</f>
        <v>75252.5</v>
      </c>
      <c r="V6" s="228">
        <f t="shared" ref="V6:V18" si="11">H6*M6/4</f>
        <v>75738</v>
      </c>
      <c r="W6" s="397">
        <f t="shared" si="2"/>
        <v>71125.75</v>
      </c>
      <c r="X6" s="397">
        <f t="shared" si="3"/>
        <v>73067.75</v>
      </c>
      <c r="Y6" s="397">
        <f t="shared" si="4"/>
        <v>73067.75</v>
      </c>
      <c r="Z6" s="397">
        <f t="shared" si="5"/>
        <v>0</v>
      </c>
    </row>
    <row r="7" spans="1:26">
      <c r="A7" s="189">
        <v>240</v>
      </c>
      <c r="B7" s="2" t="s">
        <v>832</v>
      </c>
      <c r="C7" s="107">
        <v>52</v>
      </c>
      <c r="D7" s="219">
        <v>15</v>
      </c>
      <c r="E7" s="206">
        <v>15</v>
      </c>
      <c r="F7" s="209">
        <v>7</v>
      </c>
      <c r="G7" s="220">
        <v>13</v>
      </c>
      <c r="H7" s="220">
        <v>13</v>
      </c>
      <c r="I7" s="220">
        <v>13</v>
      </c>
      <c r="J7" s="220">
        <v>13</v>
      </c>
      <c r="K7" s="220">
        <v>13</v>
      </c>
      <c r="L7" s="220"/>
      <c r="M7" s="190">
        <v>2807</v>
      </c>
      <c r="N7" s="226">
        <f t="shared" si="1"/>
        <v>3228.0499999999997</v>
      </c>
      <c r="O7" s="416">
        <f t="shared" si="6"/>
        <v>12.5</v>
      </c>
      <c r="P7" s="416">
        <f t="shared" si="0"/>
        <v>1.2143554158083054</v>
      </c>
      <c r="Q7" s="420">
        <v>3920</v>
      </c>
      <c r="R7" s="227">
        <f t="shared" si="7"/>
        <v>10526.25</v>
      </c>
      <c r="S7" s="190">
        <f t="shared" si="8"/>
        <v>10526.25</v>
      </c>
      <c r="T7" s="190">
        <f t="shared" si="9"/>
        <v>4912.25</v>
      </c>
      <c r="U7" s="190">
        <f t="shared" si="10"/>
        <v>9122.75</v>
      </c>
      <c r="V7" s="228">
        <f t="shared" si="11"/>
        <v>9122.75</v>
      </c>
      <c r="W7" s="397">
        <f t="shared" si="2"/>
        <v>9122.75</v>
      </c>
      <c r="X7" s="397">
        <f t="shared" si="3"/>
        <v>9122.75</v>
      </c>
      <c r="Y7" s="397">
        <f t="shared" si="4"/>
        <v>9122.75</v>
      </c>
      <c r="Z7" s="397">
        <f t="shared" si="5"/>
        <v>0</v>
      </c>
    </row>
    <row r="8" spans="1:26">
      <c r="A8" s="189">
        <v>240</v>
      </c>
      <c r="B8" s="2" t="s">
        <v>833</v>
      </c>
      <c r="C8" s="107">
        <v>26</v>
      </c>
      <c r="D8" s="219">
        <v>12</v>
      </c>
      <c r="E8" s="206">
        <v>12</v>
      </c>
      <c r="F8" s="209">
        <v>13</v>
      </c>
      <c r="G8" s="206">
        <v>7</v>
      </c>
      <c r="H8" s="220">
        <v>7</v>
      </c>
      <c r="I8" s="220">
        <v>8</v>
      </c>
      <c r="J8" s="220">
        <v>8</v>
      </c>
      <c r="K8" s="220">
        <v>8</v>
      </c>
      <c r="L8" s="220"/>
      <c r="M8" s="190">
        <v>1461</v>
      </c>
      <c r="N8" s="226">
        <f t="shared" si="1"/>
        <v>1680.1499999999999</v>
      </c>
      <c r="O8" s="416">
        <f t="shared" si="6"/>
        <v>11</v>
      </c>
      <c r="P8" s="416">
        <f t="shared" si="0"/>
        <v>1.3689253935660508</v>
      </c>
      <c r="Q8" s="420">
        <v>2300</v>
      </c>
      <c r="R8" s="227">
        <f t="shared" si="7"/>
        <v>4383</v>
      </c>
      <c r="S8" s="190">
        <f t="shared" si="8"/>
        <v>4383</v>
      </c>
      <c r="T8" s="190">
        <f t="shared" si="9"/>
        <v>4748.25</v>
      </c>
      <c r="U8" s="190">
        <f t="shared" si="10"/>
        <v>2556.75</v>
      </c>
      <c r="V8" s="228">
        <f t="shared" si="11"/>
        <v>2556.75</v>
      </c>
      <c r="W8" s="397">
        <f t="shared" si="2"/>
        <v>2922</v>
      </c>
      <c r="X8" s="397">
        <f t="shared" si="3"/>
        <v>2922</v>
      </c>
      <c r="Y8" s="397">
        <f t="shared" si="4"/>
        <v>2922</v>
      </c>
      <c r="Z8" s="397">
        <f t="shared" si="5"/>
        <v>0</v>
      </c>
    </row>
    <row r="9" spans="1:26">
      <c r="A9" s="191">
        <v>1100</v>
      </c>
      <c r="B9" s="194" t="s">
        <v>832</v>
      </c>
      <c r="C9" s="192">
        <v>52</v>
      </c>
      <c r="D9" s="219">
        <v>2</v>
      </c>
      <c r="E9" s="107">
        <v>2</v>
      </c>
      <c r="F9" s="206">
        <v>1</v>
      </c>
      <c r="G9" s="206">
        <v>2</v>
      </c>
      <c r="H9" s="220">
        <v>2</v>
      </c>
      <c r="I9" s="689">
        <v>2</v>
      </c>
      <c r="J9" s="689">
        <v>2</v>
      </c>
      <c r="K9" s="689">
        <v>2</v>
      </c>
      <c r="L9" s="689"/>
      <c r="M9" s="193">
        <v>9823</v>
      </c>
      <c r="N9" s="226">
        <f t="shared" si="1"/>
        <v>11296.449999999999</v>
      </c>
      <c r="O9" s="416">
        <f t="shared" si="6"/>
        <v>1.75</v>
      </c>
      <c r="P9" s="416">
        <f t="shared" si="0"/>
        <v>1.213655617472746</v>
      </c>
      <c r="Q9" s="422">
        <v>13710</v>
      </c>
      <c r="R9" s="227">
        <f t="shared" si="7"/>
        <v>4911.5</v>
      </c>
      <c r="S9" s="190">
        <f t="shared" si="8"/>
        <v>4911.5</v>
      </c>
      <c r="T9" s="190">
        <f t="shared" si="9"/>
        <v>2455.75</v>
      </c>
      <c r="U9" s="190">
        <f t="shared" si="10"/>
        <v>4911.5</v>
      </c>
      <c r="V9" s="228">
        <f t="shared" si="11"/>
        <v>4911.5</v>
      </c>
      <c r="W9" s="397">
        <f t="shared" si="2"/>
        <v>4911.5</v>
      </c>
      <c r="X9" s="397">
        <f t="shared" si="3"/>
        <v>4911.5</v>
      </c>
      <c r="Y9" s="397">
        <f t="shared" si="4"/>
        <v>4911.5</v>
      </c>
      <c r="Z9" s="397">
        <f t="shared" si="5"/>
        <v>0</v>
      </c>
    </row>
    <row r="10" spans="1:26" ht="14" thickBot="1">
      <c r="A10" s="191">
        <v>1100</v>
      </c>
      <c r="B10" s="194" t="s">
        <v>833</v>
      </c>
      <c r="C10" s="192">
        <v>26</v>
      </c>
      <c r="D10" s="219">
        <v>1</v>
      </c>
      <c r="E10" s="211">
        <v>1</v>
      </c>
      <c r="F10" s="211">
        <v>1</v>
      </c>
      <c r="G10" s="211">
        <v>1</v>
      </c>
      <c r="H10" s="211">
        <v>1</v>
      </c>
      <c r="I10" s="211">
        <v>1</v>
      </c>
      <c r="J10" s="211">
        <v>1</v>
      </c>
      <c r="K10" s="211">
        <v>1</v>
      </c>
      <c r="L10" s="211"/>
      <c r="M10" s="193">
        <v>5765</v>
      </c>
      <c r="N10" s="226">
        <f t="shared" si="1"/>
        <v>6629.7499999999991</v>
      </c>
      <c r="O10" s="423">
        <f t="shared" si="6"/>
        <v>1</v>
      </c>
      <c r="P10" s="416">
        <f t="shared" si="0"/>
        <v>1.2127154115916892</v>
      </c>
      <c r="Q10" s="422">
        <v>8040</v>
      </c>
      <c r="R10" s="229">
        <f t="shared" si="7"/>
        <v>1441.25</v>
      </c>
      <c r="S10" s="230">
        <f t="shared" si="8"/>
        <v>1441.25</v>
      </c>
      <c r="T10" s="230">
        <f t="shared" si="9"/>
        <v>1441.25</v>
      </c>
      <c r="U10" s="230">
        <f t="shared" si="10"/>
        <v>1441.25</v>
      </c>
      <c r="V10" s="231">
        <f t="shared" si="11"/>
        <v>1441.25</v>
      </c>
      <c r="W10" s="397">
        <f t="shared" si="2"/>
        <v>1441.25</v>
      </c>
      <c r="X10" s="397">
        <f t="shared" si="3"/>
        <v>1441.25</v>
      </c>
      <c r="Y10" s="397">
        <f t="shared" si="4"/>
        <v>1441.25</v>
      </c>
      <c r="Z10" s="397">
        <f t="shared" si="5"/>
        <v>0</v>
      </c>
    </row>
    <row r="11" spans="1:26" ht="14" thickBot="1">
      <c r="A11" s="232"/>
      <c r="B11" s="195"/>
      <c r="C11" s="195"/>
      <c r="D11" s="195">
        <f>SUM(D5:D10)</f>
        <v>622</v>
      </c>
      <c r="E11" s="195">
        <f>SUM(E5:E10)</f>
        <v>622</v>
      </c>
      <c r="F11" s="195">
        <f>SUM(F5:F10)</f>
        <v>623</v>
      </c>
      <c r="G11" s="195">
        <f>SUM(G5:G10)</f>
        <v>629</v>
      </c>
      <c r="H11" s="195">
        <f>SUM(H5:H10)</f>
        <v>633</v>
      </c>
      <c r="I11" s="195">
        <f>SUM(I3:I10)</f>
        <v>616</v>
      </c>
      <c r="J11" s="195">
        <f>SUM(J3:J10)</f>
        <v>628</v>
      </c>
      <c r="K11" s="195">
        <f>SUM(K3:K10)</f>
        <v>628</v>
      </c>
      <c r="L11" s="195"/>
      <c r="M11" s="233"/>
      <c r="N11" s="234"/>
      <c r="O11" s="208"/>
      <c r="P11" s="208"/>
      <c r="Q11" s="424">
        <f>O5*Q5+O6*Q6+O7*Q7+O8*Q8+O9*Q9+O10*Q10</f>
        <v>1181945</v>
      </c>
      <c r="R11" s="235">
        <f>SUM(R5:R10)</f>
        <v>213365.5</v>
      </c>
      <c r="S11" s="200">
        <f>SUM(S5:S10)</f>
        <v>213365.5</v>
      </c>
      <c r="T11" s="200">
        <f>SUM(T5:T10)</f>
        <v>206563.75</v>
      </c>
      <c r="U11" s="200">
        <f>SUM(U5:U10)</f>
        <v>212572.75</v>
      </c>
      <c r="V11" s="236">
        <f>SUM(V5:V10)</f>
        <v>213864.25</v>
      </c>
      <c r="W11" s="236">
        <f>SUM(W3:W10)</f>
        <v>203968.25</v>
      </c>
      <c r="X11" s="236">
        <f>SUM(X3:X10)</f>
        <v>207522.25</v>
      </c>
      <c r="Y11" s="236">
        <f>SUM(Y3:Y10)</f>
        <v>207522.25</v>
      </c>
      <c r="Z11" s="236">
        <f>SUM(Z3:Z10)</f>
        <v>0</v>
      </c>
    </row>
    <row r="12" spans="1:26" ht="19.5" customHeight="1" thickBot="1">
      <c r="A12" s="237"/>
      <c r="B12" s="238"/>
      <c r="C12" s="238"/>
      <c r="D12" s="238"/>
      <c r="E12" s="239">
        <f>E11-D11</f>
        <v>0</v>
      </c>
      <c r="F12" s="239">
        <f>F11-E11</f>
        <v>1</v>
      </c>
      <c r="G12" s="238"/>
      <c r="H12" s="239"/>
      <c r="I12" s="693">
        <f>I11-H11</f>
        <v>-17</v>
      </c>
      <c r="J12" s="239">
        <f>J11-I11</f>
        <v>12</v>
      </c>
      <c r="K12" s="239"/>
      <c r="L12" s="239"/>
      <c r="M12" s="240"/>
      <c r="N12" s="238"/>
      <c r="Q12" s="344"/>
      <c r="S12" s="150"/>
      <c r="T12" s="150"/>
      <c r="U12" s="201">
        <f t="shared" ref="U12:Z12" si="12">1.15*U11</f>
        <v>244458.66249999998</v>
      </c>
      <c r="V12" s="201">
        <f t="shared" si="12"/>
        <v>245943.88749999998</v>
      </c>
      <c r="W12" s="201">
        <f t="shared" si="12"/>
        <v>234563.48749999999</v>
      </c>
      <c r="X12" s="201">
        <f t="shared" si="12"/>
        <v>238650.58749999999</v>
      </c>
      <c r="Y12" s="201">
        <f t="shared" si="12"/>
        <v>238650.58749999999</v>
      </c>
      <c r="Z12" s="201">
        <f t="shared" si="12"/>
        <v>0</v>
      </c>
    </row>
    <row r="13" spans="1:26" ht="28.5" customHeight="1" thickBot="1">
      <c r="A13" s="1133" t="s">
        <v>1097</v>
      </c>
      <c r="B13" s="1134"/>
      <c r="C13" s="1134"/>
      <c r="D13" s="1134"/>
      <c r="E13" s="1134"/>
      <c r="F13" s="1134"/>
      <c r="G13" s="1134"/>
      <c r="H13" s="1134"/>
      <c r="I13" s="1134"/>
      <c r="J13" s="1134"/>
      <c r="K13" s="1134"/>
      <c r="L13" s="1134"/>
      <c r="M13" s="1135"/>
      <c r="N13" s="1138"/>
      <c r="O13" s="407"/>
      <c r="P13" s="407"/>
      <c r="Q13" s="409" t="s">
        <v>1096</v>
      </c>
      <c r="R13" s="216" t="s">
        <v>1084</v>
      </c>
      <c r="S13" s="218" t="s">
        <v>1085</v>
      </c>
      <c r="T13" s="218" t="s">
        <v>1086</v>
      </c>
      <c r="U13" s="218" t="s">
        <v>1087</v>
      </c>
      <c r="V13" s="392" t="s">
        <v>1088</v>
      </c>
      <c r="W13" s="392" t="s">
        <v>1089</v>
      </c>
      <c r="X13" s="392" t="s">
        <v>1090</v>
      </c>
      <c r="Y13" s="392" t="s">
        <v>1091</v>
      </c>
      <c r="Z13" s="392" t="s">
        <v>1092</v>
      </c>
    </row>
    <row r="14" spans="1:26" ht="0.75" hidden="1" customHeight="1">
      <c r="A14" s="196" t="s">
        <v>376</v>
      </c>
      <c r="B14" s="207"/>
      <c r="C14" s="207"/>
      <c r="D14" s="207"/>
      <c r="E14" s="207"/>
      <c r="F14" s="207"/>
      <c r="G14" s="207"/>
      <c r="H14" s="207"/>
      <c r="I14" s="207"/>
      <c r="J14" s="207"/>
      <c r="K14" s="207"/>
      <c r="L14" s="207"/>
      <c r="M14" s="198" t="s">
        <v>1098</v>
      </c>
      <c r="N14" s="425"/>
      <c r="Q14" s="690"/>
      <c r="R14" s="398"/>
      <c r="S14" s="399"/>
      <c r="T14" s="399" t="e">
        <f t="shared" si="9"/>
        <v>#VALUE!</v>
      </c>
      <c r="U14" s="190" t="e">
        <f t="shared" si="10"/>
        <v>#VALUE!</v>
      </c>
      <c r="V14" s="228" t="e">
        <f t="shared" si="11"/>
        <v>#VALUE!</v>
      </c>
      <c r="W14" s="228">
        <f>I14*N14/4</f>
        <v>0</v>
      </c>
      <c r="X14" s="228">
        <f>J14*O14/4</f>
        <v>0</v>
      </c>
      <c r="Y14" s="228">
        <f>K14*P14/4</f>
        <v>0</v>
      </c>
      <c r="Z14" s="228">
        <f>L14*Q14/4</f>
        <v>0</v>
      </c>
    </row>
    <row r="15" spans="1:26">
      <c r="A15" s="196" t="s">
        <v>837</v>
      </c>
      <c r="B15" s="197" t="s">
        <v>832</v>
      </c>
      <c r="C15" s="198">
        <v>52</v>
      </c>
      <c r="D15" s="207">
        <v>11</v>
      </c>
      <c r="E15" s="207">
        <v>11</v>
      </c>
      <c r="F15" s="207">
        <v>11</v>
      </c>
      <c r="G15" s="207">
        <v>11</v>
      </c>
      <c r="H15" s="207">
        <v>11</v>
      </c>
      <c r="I15" s="207">
        <v>11</v>
      </c>
      <c r="J15" s="207">
        <v>11</v>
      </c>
      <c r="K15" s="207">
        <v>11</v>
      </c>
      <c r="L15" s="207"/>
      <c r="M15" s="199">
        <v>10588</v>
      </c>
      <c r="N15" s="228">
        <f>M15*1.14</f>
        <v>12070.32</v>
      </c>
      <c r="O15" s="201"/>
      <c r="P15" s="201"/>
      <c r="Q15" s="421">
        <v>10588</v>
      </c>
      <c r="R15" s="400">
        <f>D15*M15/4</f>
        <v>29117</v>
      </c>
      <c r="S15" s="227">
        <f>E15*M15/4</f>
        <v>29117</v>
      </c>
      <c r="T15" s="227">
        <f t="shared" si="9"/>
        <v>29117</v>
      </c>
      <c r="U15" s="190">
        <f t="shared" si="10"/>
        <v>29117</v>
      </c>
      <c r="V15" s="228">
        <f t="shared" si="11"/>
        <v>29117</v>
      </c>
      <c r="W15" s="397">
        <f>I15*M15/4</f>
        <v>29117</v>
      </c>
      <c r="X15" s="397">
        <f>J15*M15/4</f>
        <v>29117</v>
      </c>
      <c r="Y15" s="397">
        <f>K15*M15/4</f>
        <v>29117</v>
      </c>
      <c r="Z15" s="397">
        <f>L15*M15/4</f>
        <v>0</v>
      </c>
    </row>
    <row r="16" spans="1:26">
      <c r="A16" s="189" t="s">
        <v>842</v>
      </c>
      <c r="B16" s="2" t="s">
        <v>832</v>
      </c>
      <c r="C16" s="107">
        <v>52</v>
      </c>
      <c r="D16" s="206">
        <v>11</v>
      </c>
      <c r="E16" s="206">
        <v>11</v>
      </c>
      <c r="F16" s="220">
        <v>11</v>
      </c>
      <c r="G16" s="220">
        <v>11</v>
      </c>
      <c r="H16" s="207">
        <v>11</v>
      </c>
      <c r="I16" s="207">
        <v>11</v>
      </c>
      <c r="J16" s="207">
        <v>11</v>
      </c>
      <c r="K16" s="207">
        <v>11</v>
      </c>
      <c r="L16" s="207"/>
      <c r="M16" s="190">
        <v>13402</v>
      </c>
      <c r="N16" s="228">
        <f>M16*1.14</f>
        <v>15278.279999999999</v>
      </c>
      <c r="O16" s="201"/>
      <c r="P16" s="201"/>
      <c r="Q16" s="420">
        <v>13402</v>
      </c>
      <c r="R16" s="400">
        <f>D16*M16/4</f>
        <v>36855.5</v>
      </c>
      <c r="S16" s="227">
        <f>E16*M16/4</f>
        <v>36855.5</v>
      </c>
      <c r="T16" s="227">
        <f t="shared" si="9"/>
        <v>36855.5</v>
      </c>
      <c r="U16" s="190">
        <f t="shared" si="10"/>
        <v>36855.5</v>
      </c>
      <c r="V16" s="228">
        <f t="shared" si="11"/>
        <v>36855.5</v>
      </c>
      <c r="W16" s="397">
        <f>I16*M16/4</f>
        <v>36855.5</v>
      </c>
      <c r="X16" s="397">
        <f>J16*M16/4</f>
        <v>36855.5</v>
      </c>
      <c r="Y16" s="397">
        <f>K16*M16/4</f>
        <v>36855.5</v>
      </c>
      <c r="Z16" s="397">
        <f>L16*M16/4</f>
        <v>0</v>
      </c>
    </row>
    <row r="17" spans="1:26">
      <c r="A17" s="189" t="s">
        <v>838</v>
      </c>
      <c r="B17" s="2" t="s">
        <v>839</v>
      </c>
      <c r="C17" s="107">
        <v>12</v>
      </c>
      <c r="D17" s="206">
        <v>6</v>
      </c>
      <c r="E17" s="206">
        <v>6</v>
      </c>
      <c r="F17" s="206">
        <v>6</v>
      </c>
      <c r="G17" s="206">
        <v>6</v>
      </c>
      <c r="H17" s="207">
        <v>6</v>
      </c>
      <c r="I17" s="207">
        <v>6</v>
      </c>
      <c r="J17" s="207">
        <v>6</v>
      </c>
      <c r="K17" s="207">
        <v>6</v>
      </c>
      <c r="L17" s="207"/>
      <c r="M17" s="190">
        <v>4262</v>
      </c>
      <c r="N17" s="228">
        <f>M17*1.14</f>
        <v>4858.6799999999994</v>
      </c>
      <c r="O17" s="201"/>
      <c r="P17" s="201"/>
      <c r="Q17" s="420">
        <v>4262</v>
      </c>
      <c r="R17" s="400">
        <f>D17*M17/4</f>
        <v>6393</v>
      </c>
      <c r="S17" s="227">
        <f>E17*M17/4</f>
        <v>6393</v>
      </c>
      <c r="T17" s="227">
        <f t="shared" si="9"/>
        <v>6393</v>
      </c>
      <c r="U17" s="190">
        <f t="shared" si="10"/>
        <v>6393</v>
      </c>
      <c r="V17" s="228">
        <f t="shared" si="11"/>
        <v>6393</v>
      </c>
      <c r="W17" s="397">
        <f>I17*M17/4</f>
        <v>6393</v>
      </c>
      <c r="X17" s="397">
        <f>J17*M17/4</f>
        <v>6393</v>
      </c>
      <c r="Y17" s="397">
        <f>K17*M17/4</f>
        <v>6393</v>
      </c>
      <c r="Z17" s="397">
        <f>L17*M17/4</f>
        <v>0</v>
      </c>
    </row>
    <row r="18" spans="1:26" ht="14" thickBot="1">
      <c r="A18" s="241" t="s">
        <v>1099</v>
      </c>
      <c r="B18" s="135" t="s">
        <v>839</v>
      </c>
      <c r="C18" s="242">
        <v>12</v>
      </c>
      <c r="D18" s="243">
        <v>6</v>
      </c>
      <c r="E18" s="243">
        <v>6</v>
      </c>
      <c r="F18" s="243">
        <v>6</v>
      </c>
      <c r="G18" s="243">
        <v>6</v>
      </c>
      <c r="H18" s="207">
        <v>6</v>
      </c>
      <c r="I18" s="207">
        <v>6</v>
      </c>
      <c r="J18" s="211">
        <v>6</v>
      </c>
      <c r="K18" s="211">
        <v>6</v>
      </c>
      <c r="L18" s="211"/>
      <c r="M18" s="230">
        <v>1791</v>
      </c>
      <c r="N18" s="231">
        <f>M18*1.14</f>
        <v>2041.7399999999998</v>
      </c>
      <c r="O18" s="201"/>
      <c r="P18" s="201"/>
      <c r="Q18" s="691">
        <v>1791</v>
      </c>
      <c r="R18" s="400">
        <f>D18*M18/4</f>
        <v>2686.5</v>
      </c>
      <c r="S18" s="227">
        <f>E18*M18/4</f>
        <v>2686.5</v>
      </c>
      <c r="T18" s="227">
        <f t="shared" si="9"/>
        <v>2686.5</v>
      </c>
      <c r="U18" s="190">
        <f t="shared" si="10"/>
        <v>2686.5</v>
      </c>
      <c r="V18" s="228">
        <f t="shared" si="11"/>
        <v>2686.5</v>
      </c>
      <c r="W18" s="397">
        <f>I18*M18/4</f>
        <v>2686.5</v>
      </c>
      <c r="X18" s="397">
        <f>J18*M18/4</f>
        <v>2686.5</v>
      </c>
      <c r="Y18" s="397">
        <f>K18*M18/4</f>
        <v>2686.5</v>
      </c>
      <c r="Z18" s="397">
        <f>L18*M18/4</f>
        <v>0</v>
      </c>
    </row>
    <row r="19" spans="1:26" ht="14" thickBot="1">
      <c r="A19" s="204"/>
      <c r="B19" s="208"/>
      <c r="C19" s="208"/>
      <c r="D19" s="208">
        <f t="shared" ref="D19:I19" si="13">SUM(D15:D18)</f>
        <v>34</v>
      </c>
      <c r="E19" s="208">
        <f t="shared" si="13"/>
        <v>34</v>
      </c>
      <c r="F19" s="208">
        <f t="shared" si="13"/>
        <v>34</v>
      </c>
      <c r="G19" s="208">
        <f t="shared" si="13"/>
        <v>34</v>
      </c>
      <c r="H19" s="208">
        <f t="shared" si="13"/>
        <v>34</v>
      </c>
      <c r="I19" s="208">
        <f t="shared" si="13"/>
        <v>34</v>
      </c>
      <c r="J19" s="208">
        <f>SUM(J15:J18)</f>
        <v>34</v>
      </c>
      <c r="K19" s="208">
        <f>SUM(K15:K18)</f>
        <v>34</v>
      </c>
      <c r="L19" s="208"/>
      <c r="M19" s="205"/>
      <c r="N19" s="214"/>
      <c r="O19" s="213"/>
      <c r="P19" s="213"/>
      <c r="Q19" s="692"/>
      <c r="R19" s="401">
        <f t="shared" ref="R19:X19" si="14">SUM(R15:R18)</f>
        <v>75052</v>
      </c>
      <c r="S19" s="244">
        <f t="shared" si="14"/>
        <v>75052</v>
      </c>
      <c r="T19" s="244">
        <f t="shared" si="14"/>
        <v>75052</v>
      </c>
      <c r="U19" s="245">
        <f t="shared" si="14"/>
        <v>75052</v>
      </c>
      <c r="V19" s="246">
        <f t="shared" si="14"/>
        <v>75052</v>
      </c>
      <c r="W19" s="246">
        <f t="shared" si="14"/>
        <v>75052</v>
      </c>
      <c r="X19" s="246">
        <f t="shared" si="14"/>
        <v>75052</v>
      </c>
      <c r="Y19" s="246">
        <f>SUM(Y15:Y18)</f>
        <v>75052</v>
      </c>
      <c r="Z19" s="246">
        <f>SUM(Z15:Z18)</f>
        <v>0</v>
      </c>
    </row>
    <row r="20" spans="1:26" ht="14" hidden="1" thickBot="1">
      <c r="A20" s="1139" t="s">
        <v>1100</v>
      </c>
      <c r="B20" s="1140"/>
      <c r="C20" s="1140"/>
      <c r="D20" s="1140"/>
      <c r="E20" s="1140"/>
      <c r="F20" s="1140"/>
      <c r="G20" s="1140"/>
      <c r="H20" s="1140"/>
      <c r="I20" s="688"/>
      <c r="J20" s="688"/>
      <c r="K20" s="688"/>
      <c r="L20" s="688"/>
      <c r="M20" s="212">
        <v>118350</v>
      </c>
      <c r="N20" s="247"/>
      <c r="O20" s="103"/>
      <c r="P20" s="103"/>
      <c r="Q20" s="103"/>
      <c r="R20" s="148"/>
      <c r="S20" s="402"/>
      <c r="T20" s="402"/>
      <c r="V20" s="320"/>
      <c r="W20" s="320"/>
      <c r="X20" s="320"/>
      <c r="Y20" s="320"/>
      <c r="Z20" s="320"/>
    </row>
    <row r="21" spans="1:26" ht="14" thickBo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R21" s="403">
        <f t="shared" ref="R21:Z21" si="15">R11+R19</f>
        <v>288417.5</v>
      </c>
      <c r="S21" s="403">
        <f t="shared" si="15"/>
        <v>288417.5</v>
      </c>
      <c r="T21" s="403">
        <f t="shared" si="15"/>
        <v>281615.75</v>
      </c>
      <c r="U21" s="404">
        <f t="shared" si="15"/>
        <v>287624.75</v>
      </c>
      <c r="V21" s="405">
        <f t="shared" si="15"/>
        <v>288916.25</v>
      </c>
      <c r="W21" s="405">
        <f t="shared" si="15"/>
        <v>279020.25</v>
      </c>
      <c r="X21" s="405">
        <f t="shared" si="15"/>
        <v>282574.25</v>
      </c>
      <c r="Y21" s="424">
        <f t="shared" si="15"/>
        <v>282574.25</v>
      </c>
      <c r="Z21" s="695">
        <f t="shared" si="15"/>
        <v>0</v>
      </c>
    </row>
    <row r="22" spans="1:26">
      <c r="A22" s="103"/>
      <c r="B22" s="103"/>
      <c r="C22" s="4"/>
      <c r="D22" s="4"/>
      <c r="E22" s="4"/>
      <c r="F22" s="4"/>
      <c r="G22" s="4"/>
      <c r="H22" s="4"/>
      <c r="I22" s="4"/>
      <c r="J22" s="4"/>
      <c r="K22" s="4"/>
      <c r="L22" s="4"/>
      <c r="M22" s="248"/>
      <c r="N22" s="249"/>
      <c r="O22" s="249"/>
      <c r="P22" s="249"/>
      <c r="Q22" s="249">
        <v>1164786</v>
      </c>
      <c r="S22" s="150"/>
      <c r="T22" s="150"/>
      <c r="U22" s="201">
        <f t="shared" ref="U22:Z22" si="16">1.15*U19</f>
        <v>86309.799999999988</v>
      </c>
      <c r="V22" s="201">
        <f t="shared" si="16"/>
        <v>86309.799999999988</v>
      </c>
      <c r="W22" s="201">
        <f t="shared" si="16"/>
        <v>86309.799999999988</v>
      </c>
      <c r="X22" s="201">
        <f t="shared" si="16"/>
        <v>86309.799999999988</v>
      </c>
      <c r="Y22" s="201">
        <f t="shared" si="16"/>
        <v>86309.799999999988</v>
      </c>
      <c r="Z22" s="201">
        <f t="shared" si="16"/>
        <v>0</v>
      </c>
    </row>
    <row r="23" spans="1:26">
      <c r="A23" s="4"/>
      <c r="B23" s="127"/>
      <c r="C23" s="4"/>
      <c r="D23" s="4"/>
      <c r="E23" s="4"/>
      <c r="F23" s="4"/>
      <c r="G23" s="4"/>
      <c r="H23" s="4"/>
      <c r="I23" s="4"/>
      <c r="J23" s="4"/>
      <c r="K23" s="4"/>
      <c r="L23" s="4"/>
      <c r="M23" s="213"/>
      <c r="N23"/>
      <c r="O23"/>
      <c r="P23"/>
      <c r="Q23" s="249">
        <v>95000</v>
      </c>
      <c r="S23" s="150"/>
      <c r="T23" s="150"/>
    </row>
    <row r="24" spans="1:26">
      <c r="A24" s="4"/>
      <c r="B24" s="127"/>
      <c r="C24" s="4"/>
      <c r="D24" s="4"/>
      <c r="E24" s="4"/>
      <c r="F24" s="4"/>
      <c r="G24" s="4"/>
      <c r="H24" s="4"/>
      <c r="I24" s="4"/>
      <c r="J24" s="4"/>
      <c r="K24" s="4"/>
      <c r="L24" s="4"/>
      <c r="M24" s="250"/>
      <c r="N24"/>
      <c r="O24"/>
      <c r="P24"/>
      <c r="Q24" s="201">
        <f>SUM(R24:U24)</f>
        <v>1315102.6499999999</v>
      </c>
      <c r="R24" s="966">
        <f>1.14*R21</f>
        <v>328795.94999999995</v>
      </c>
      <c r="S24" s="966">
        <f t="shared" ref="S24:Y24" si="17">1.15*S21</f>
        <v>331680.125</v>
      </c>
      <c r="T24" s="966">
        <f t="shared" si="17"/>
        <v>323858.11249999999</v>
      </c>
      <c r="U24" s="966">
        <f t="shared" si="17"/>
        <v>330768.46249999997</v>
      </c>
      <c r="V24" s="966">
        <f t="shared" si="17"/>
        <v>332253.6875</v>
      </c>
      <c r="W24" s="966">
        <f t="shared" si="17"/>
        <v>320873.28749999998</v>
      </c>
      <c r="X24" s="966">
        <f t="shared" si="17"/>
        <v>324960.38749999995</v>
      </c>
      <c r="Y24" s="966">
        <f t="shared" si="17"/>
        <v>324960.38749999995</v>
      </c>
      <c r="Z24" t="s">
        <v>1101</v>
      </c>
    </row>
    <row r="25" spans="1:26">
      <c r="A25" s="4"/>
      <c r="B25" s="127"/>
      <c r="M25" s="250"/>
      <c r="S25" s="406"/>
      <c r="T25" s="406"/>
      <c r="U25" s="406"/>
      <c r="W25" s="201">
        <f>4*W24</f>
        <v>1283493.1499999999</v>
      </c>
    </row>
    <row r="26" spans="1:26">
      <c r="A26" s="252"/>
      <c r="B26" s="127"/>
      <c r="C26" s="4"/>
      <c r="D26" s="4"/>
      <c r="E26" s="4"/>
      <c r="F26" s="4"/>
      <c r="G26" s="4"/>
      <c r="H26" s="4"/>
      <c r="I26" s="4"/>
      <c r="J26" s="4"/>
      <c r="K26" s="4"/>
      <c r="L26" s="4"/>
      <c r="M26" s="253"/>
      <c r="N26" s="254"/>
      <c r="O26" s="254"/>
      <c r="P26" s="254"/>
      <c r="Q26" s="254">
        <f>Q24-Q22-Q23</f>
        <v>55316.649999999907</v>
      </c>
      <c r="S26" s="150"/>
      <c r="T26" s="150"/>
      <c r="U26" s="201"/>
      <c r="V26" s="123" t="s">
        <v>1102</v>
      </c>
      <c r="W26" s="694">
        <v>1118160</v>
      </c>
    </row>
    <row r="27" spans="1:26">
      <c r="A27" s="4"/>
      <c r="B27" s="127"/>
      <c r="C27" s="4"/>
      <c r="D27" s="4"/>
      <c r="E27" s="4"/>
      <c r="F27" s="4"/>
      <c r="G27" s="4"/>
      <c r="H27" s="4"/>
      <c r="I27" s="4"/>
      <c r="J27" s="4"/>
      <c r="K27" s="4"/>
      <c r="L27" s="4"/>
      <c r="M27" s="255"/>
      <c r="N27" s="254"/>
      <c r="O27" s="254"/>
      <c r="P27" s="254"/>
      <c r="Q27" s="254"/>
      <c r="R27" s="103"/>
      <c r="S27" s="251"/>
      <c r="T27" s="251"/>
      <c r="V27" t="s">
        <v>1103</v>
      </c>
      <c r="W27" s="694">
        <v>700</v>
      </c>
    </row>
    <row r="28" spans="1:26">
      <c r="A28" s="4"/>
      <c r="B28" s="127"/>
      <c r="C28" s="4"/>
      <c r="D28" s="4"/>
      <c r="E28" s="4"/>
      <c r="F28" s="4"/>
      <c r="G28" s="4"/>
      <c r="H28" s="4"/>
      <c r="I28" s="4"/>
      <c r="J28" s="4"/>
      <c r="K28" s="4"/>
      <c r="L28" s="4"/>
      <c r="M28" s="143"/>
      <c r="N28" s="254"/>
      <c r="O28" s="254"/>
      <c r="P28" s="254"/>
      <c r="Q28" s="254"/>
    </row>
    <row r="29" spans="1:26">
      <c r="M29" s="255"/>
      <c r="W29" s="249">
        <f>W26-W25</f>
        <v>-165333.14999999991</v>
      </c>
    </row>
    <row r="30" spans="1:26">
      <c r="C30" s="4"/>
      <c r="D30" s="4"/>
      <c r="E30" s="4"/>
      <c r="F30" s="4"/>
      <c r="G30" s="4"/>
      <c r="H30" s="4"/>
      <c r="I30" s="4"/>
      <c r="J30" s="4"/>
      <c r="K30" s="4"/>
      <c r="L30" s="4"/>
      <c r="M30" s="255"/>
    </row>
    <row r="31" spans="1:26">
      <c r="D31" s="4"/>
      <c r="E31" s="4"/>
      <c r="F31" s="4"/>
      <c r="G31" s="4"/>
      <c r="H31" s="4"/>
      <c r="I31" s="4"/>
      <c r="J31" s="4"/>
      <c r="K31" s="4"/>
      <c r="L31" s="4"/>
      <c r="M31" s="248"/>
    </row>
    <row r="32" spans="1:26">
      <c r="C32" s="4"/>
      <c r="D32" s="4"/>
      <c r="E32" s="4"/>
      <c r="F32" s="4"/>
      <c r="G32" s="4"/>
      <c r="H32" s="4"/>
      <c r="I32" s="4"/>
      <c r="J32" s="4"/>
      <c r="K32" s="4"/>
      <c r="L32" s="4"/>
      <c r="M32" s="256"/>
    </row>
    <row r="33" spans="2:13"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257"/>
    </row>
    <row r="34" spans="2:13">
      <c r="C34" s="127"/>
      <c r="D34" s="3"/>
      <c r="E34" s="3"/>
      <c r="M34" s="256"/>
    </row>
    <row r="35" spans="2:13">
      <c r="M35" s="257"/>
    </row>
    <row r="37" spans="2:13">
      <c r="B37" s="150"/>
      <c r="D37" s="1137"/>
      <c r="E37" s="1123"/>
    </row>
    <row r="38" spans="2:13">
      <c r="B38" s="150"/>
    </row>
    <row r="39" spans="2:13">
      <c r="B39" s="150"/>
    </row>
    <row r="40" spans="2:13">
      <c r="B40" s="150"/>
    </row>
    <row r="41" spans="2:13">
      <c r="B41" s="150"/>
    </row>
    <row r="42" spans="2:13">
      <c r="B42" s="150"/>
    </row>
    <row r="43" spans="2:13">
      <c r="B43" s="150"/>
    </row>
  </sheetData>
  <mergeCells count="4">
    <mergeCell ref="A1:N1"/>
    <mergeCell ref="D37:E37"/>
    <mergeCell ref="A13:N13"/>
    <mergeCell ref="A20:H20"/>
  </mergeCells>
  <phoneticPr fontId="2" type="noConversion"/>
  <pageMargins left="0.78740157499999996" right="0.78740157499999996" top="0.984251969" bottom="0.984251969" header="0.4921259845" footer="0.4921259845"/>
  <pageSetup paperSize="9" orientation="portrait" horizontalDpi="4294967294" r:id="rId1"/>
  <headerFooter alignWithMargins="0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V42"/>
  <sheetViews>
    <sheetView topLeftCell="A3" workbookViewId="0">
      <selection activeCell="D34" sqref="D34"/>
    </sheetView>
  </sheetViews>
  <sheetFormatPr baseColWidth="10" defaultColWidth="8.83203125" defaultRowHeight="13"/>
  <cols>
    <col min="1" max="1" width="15.1640625" customWidth="1"/>
    <col min="2" max="2" width="10.1640625" bestFit="1" customWidth="1"/>
    <col min="3" max="3" width="9.6640625" bestFit="1" customWidth="1"/>
    <col min="4" max="4" width="7.5" customWidth="1"/>
    <col min="6" max="6" width="23.83203125" customWidth="1"/>
    <col min="7" max="7" width="2.83203125" customWidth="1"/>
  </cols>
  <sheetData>
    <row r="1" spans="1:13" ht="20">
      <c r="A1" s="267" t="s">
        <v>1104</v>
      </c>
    </row>
    <row r="3" spans="1:13">
      <c r="A3" s="4" t="s">
        <v>1105</v>
      </c>
      <c r="B3" s="4" t="s">
        <v>1106</v>
      </c>
      <c r="C3" s="4" t="s">
        <v>1107</v>
      </c>
      <c r="D3" s="4" t="s">
        <v>1108</v>
      </c>
      <c r="E3" s="4" t="s">
        <v>1109</v>
      </c>
      <c r="F3" s="4" t="s">
        <v>1110</v>
      </c>
    </row>
    <row r="4" spans="1:13" s="123" customFormat="1">
      <c r="A4" s="457">
        <v>40931</v>
      </c>
      <c r="B4" s="967">
        <v>24000</v>
      </c>
      <c r="C4" s="281"/>
      <c r="D4" s="123" t="s">
        <v>1111</v>
      </c>
      <c r="E4" s="123">
        <v>300050</v>
      </c>
      <c r="F4" s="123" t="s">
        <v>1112</v>
      </c>
    </row>
    <row r="5" spans="1:13">
      <c r="A5" s="458">
        <v>41012</v>
      </c>
      <c r="B5" s="968">
        <v>20000</v>
      </c>
      <c r="C5" s="150"/>
      <c r="D5" s="123" t="s">
        <v>1111</v>
      </c>
      <c r="E5">
        <v>300479</v>
      </c>
      <c r="F5" s="123" t="s">
        <v>1113</v>
      </c>
    </row>
    <row r="6" spans="1:13">
      <c r="A6" s="458">
        <v>41081</v>
      </c>
      <c r="B6" s="968">
        <v>41800</v>
      </c>
      <c r="C6" s="150"/>
      <c r="D6" s="123" t="s">
        <v>1111</v>
      </c>
      <c r="E6">
        <v>300690</v>
      </c>
      <c r="F6" s="123" t="s">
        <v>1112</v>
      </c>
    </row>
    <row r="7" spans="1:13">
      <c r="H7" s="458">
        <v>41176</v>
      </c>
      <c r="I7" s="150"/>
      <c r="J7" s="150">
        <v>86700</v>
      </c>
      <c r="K7" s="123" t="s">
        <v>1111</v>
      </c>
      <c r="L7">
        <v>300844</v>
      </c>
      <c r="M7" s="123" t="s">
        <v>1114</v>
      </c>
    </row>
    <row r="8" spans="1:13">
      <c r="A8" s="458">
        <v>41193</v>
      </c>
      <c r="B8" s="150"/>
      <c r="C8" s="150">
        <v>2880</v>
      </c>
      <c r="D8" s="123" t="s">
        <v>1111</v>
      </c>
      <c r="E8">
        <v>301012</v>
      </c>
      <c r="F8" s="123" t="s">
        <v>1115</v>
      </c>
    </row>
    <row r="9" spans="1:13">
      <c r="A9" s="458">
        <v>41199</v>
      </c>
      <c r="B9" s="968">
        <v>204000</v>
      </c>
      <c r="C9" s="150"/>
      <c r="D9" s="123" t="s">
        <v>1111</v>
      </c>
      <c r="E9">
        <v>301103</v>
      </c>
      <c r="F9" s="123" t="s">
        <v>1116</v>
      </c>
    </row>
    <row r="10" spans="1:13">
      <c r="A10" s="458">
        <v>41183</v>
      </c>
      <c r="B10" s="150"/>
      <c r="C10" s="150">
        <v>2880</v>
      </c>
      <c r="D10" s="123" t="s">
        <v>1117</v>
      </c>
      <c r="E10">
        <v>501047</v>
      </c>
      <c r="F10" s="123" t="s">
        <v>1118</v>
      </c>
    </row>
    <row r="11" spans="1:13">
      <c r="A11" s="458">
        <v>41204</v>
      </c>
      <c r="C11" s="299">
        <v>9500</v>
      </c>
      <c r="D11" s="123" t="s">
        <v>1117</v>
      </c>
      <c r="E11">
        <v>501100</v>
      </c>
      <c r="F11" s="123" t="s">
        <v>1119</v>
      </c>
    </row>
    <row r="12" spans="1:13">
      <c r="A12" s="458">
        <v>41206</v>
      </c>
      <c r="B12" s="150"/>
      <c r="C12" s="150">
        <v>791</v>
      </c>
      <c r="D12" s="123" t="s">
        <v>1117</v>
      </c>
      <c r="E12">
        <v>501112</v>
      </c>
      <c r="F12" s="123" t="s">
        <v>1120</v>
      </c>
    </row>
    <row r="13" spans="1:13">
      <c r="A13" s="458">
        <v>41206</v>
      </c>
      <c r="B13" s="150"/>
      <c r="C13" s="150">
        <v>1200</v>
      </c>
      <c r="D13" s="123" t="s">
        <v>1117</v>
      </c>
      <c r="E13">
        <v>501113</v>
      </c>
      <c r="F13" s="123" t="s">
        <v>1121</v>
      </c>
    </row>
    <row r="14" spans="1:13">
      <c r="A14" s="458">
        <v>41246</v>
      </c>
      <c r="B14" s="968">
        <v>6240</v>
      </c>
      <c r="C14" s="150"/>
      <c r="D14" s="123" t="s">
        <v>1111</v>
      </c>
      <c r="E14">
        <v>301343</v>
      </c>
      <c r="F14" s="123" t="s">
        <v>1122</v>
      </c>
    </row>
    <row r="15" spans="1:13">
      <c r="A15" s="458">
        <v>41253</v>
      </c>
      <c r="B15" s="150"/>
      <c r="C15" s="150">
        <v>2980</v>
      </c>
      <c r="D15" s="123" t="s">
        <v>1117</v>
      </c>
      <c r="E15">
        <v>501187</v>
      </c>
      <c r="F15" s="123" t="s">
        <v>1123</v>
      </c>
    </row>
    <row r="16" spans="1:13">
      <c r="A16" s="458">
        <v>41271</v>
      </c>
      <c r="C16" s="299">
        <v>18000</v>
      </c>
      <c r="D16" s="123" t="s">
        <v>1111</v>
      </c>
      <c r="E16">
        <v>301435</v>
      </c>
      <c r="F16" s="123" t="s">
        <v>1124</v>
      </c>
    </row>
    <row r="17" spans="1:256">
      <c r="B17" s="150"/>
      <c r="C17" s="150"/>
      <c r="D17" s="123"/>
      <c r="F17" s="123"/>
    </row>
    <row r="18" spans="1:256" s="103" customFormat="1">
      <c r="A18" s="103" t="s">
        <v>1125</v>
      </c>
      <c r="B18" s="251">
        <f>SUM(B4:B17)</f>
        <v>296040</v>
      </c>
      <c r="C18" s="251">
        <f>SUM(C4:C17)</f>
        <v>38231</v>
      </c>
      <c r="D18" s="126"/>
      <c r="F18" s="251">
        <f>B18+C18</f>
        <v>334271</v>
      </c>
      <c r="G18" s="251"/>
    </row>
    <row r="19" spans="1:256">
      <c r="B19" s="150"/>
      <c r="C19" s="150"/>
    </row>
    <row r="20" spans="1:256">
      <c r="A20" s="458">
        <v>41358</v>
      </c>
      <c r="B20" s="150"/>
      <c r="C20" s="150">
        <v>3025</v>
      </c>
      <c r="D20" s="123" t="s">
        <v>1117</v>
      </c>
      <c r="E20">
        <v>500673</v>
      </c>
      <c r="F20" s="123" t="s">
        <v>1126</v>
      </c>
    </row>
    <row r="21" spans="1:256">
      <c r="A21" s="458">
        <v>41389</v>
      </c>
      <c r="B21" s="150"/>
      <c r="C21" s="150">
        <v>6050</v>
      </c>
      <c r="D21" s="123" t="s">
        <v>1111</v>
      </c>
      <c r="E21">
        <v>300587</v>
      </c>
      <c r="F21" s="123" t="s">
        <v>1127</v>
      </c>
    </row>
    <row r="22" spans="1:256">
      <c r="A22" s="458">
        <v>41401</v>
      </c>
      <c r="B22" s="968">
        <v>61105</v>
      </c>
      <c r="C22" s="150"/>
      <c r="D22" s="123" t="s">
        <v>1111</v>
      </c>
      <c r="E22">
        <v>300669</v>
      </c>
      <c r="F22" s="123" t="s">
        <v>1128</v>
      </c>
    </row>
    <row r="23" spans="1:256">
      <c r="A23" s="458">
        <v>41409</v>
      </c>
      <c r="B23" s="299">
        <v>84846</v>
      </c>
      <c r="C23" s="150"/>
      <c r="D23" s="123" t="s">
        <v>1111</v>
      </c>
      <c r="E23">
        <v>300691</v>
      </c>
      <c r="F23" s="123" t="s">
        <v>1129</v>
      </c>
    </row>
    <row r="24" spans="1:256">
      <c r="A24" s="458">
        <v>41422</v>
      </c>
      <c r="C24" s="299">
        <v>10500</v>
      </c>
      <c r="D24" s="123" t="s">
        <v>1111</v>
      </c>
      <c r="E24">
        <v>300751</v>
      </c>
      <c r="F24" s="123" t="s">
        <v>1130</v>
      </c>
    </row>
    <row r="25" spans="1:256">
      <c r="A25" s="458">
        <v>41578</v>
      </c>
      <c r="B25" s="968">
        <v>16335</v>
      </c>
      <c r="C25" s="150"/>
      <c r="D25" s="123" t="s">
        <v>1117</v>
      </c>
      <c r="E25">
        <v>501109</v>
      </c>
      <c r="F25" s="123" t="s">
        <v>1131</v>
      </c>
    </row>
    <row r="26" spans="1:256">
      <c r="A26" s="458">
        <v>41582</v>
      </c>
      <c r="B26" s="968">
        <v>14520</v>
      </c>
      <c r="C26" s="150"/>
      <c r="D26" s="123" t="s">
        <v>1111</v>
      </c>
      <c r="E26">
        <v>301447</v>
      </c>
      <c r="F26" s="123" t="s">
        <v>1132</v>
      </c>
    </row>
    <row r="27" spans="1:256">
      <c r="A27" s="458">
        <v>41583</v>
      </c>
      <c r="B27" s="968">
        <v>14280</v>
      </c>
      <c r="C27" s="150"/>
      <c r="D27" s="123" t="s">
        <v>1111</v>
      </c>
      <c r="E27">
        <v>301450</v>
      </c>
      <c r="F27" s="123" t="s">
        <v>1133</v>
      </c>
    </row>
    <row r="28" spans="1:256" s="266" customFormat="1">
      <c r="B28" s="299"/>
      <c r="C28" s="299"/>
      <c r="F28" s="459" t="s">
        <v>1134</v>
      </c>
    </row>
    <row r="29" spans="1:256" s="103" customFormat="1">
      <c r="A29" s="103" t="s">
        <v>1135</v>
      </c>
      <c r="B29" s="251">
        <f>SUM(B20:B28)</f>
        <v>191086</v>
      </c>
      <c r="C29" s="251">
        <f>SUM(C20:C28)</f>
        <v>19575</v>
      </c>
      <c r="F29" s="251">
        <f>B29+C29</f>
        <v>210661</v>
      </c>
      <c r="G29" s="251"/>
    </row>
    <row r="30" spans="1:256">
      <c r="B30" s="150"/>
      <c r="C30" s="150"/>
    </row>
    <row r="31" spans="1:256">
      <c r="B31" s="150"/>
      <c r="C31" s="150"/>
    </row>
    <row r="32" spans="1:256" s="103" customFormat="1">
      <c r="A32" s="103" t="s">
        <v>419</v>
      </c>
      <c r="B32" s="251">
        <f>B18+B29</f>
        <v>487126</v>
      </c>
      <c r="C32" s="251">
        <f>C18+C29</f>
        <v>57806</v>
      </c>
      <c r="F32" s="251">
        <f>SUM(B32:E32)</f>
        <v>544932</v>
      </c>
      <c r="G32" s="251"/>
      <c r="IV32" s="251">
        <f>SUM(F32)</f>
        <v>544932</v>
      </c>
    </row>
    <row r="33" spans="2:7">
      <c r="B33" s="150"/>
      <c r="C33" s="150">
        <f>C32-C11-C16-C24</f>
        <v>19806</v>
      </c>
      <c r="G33" s="150"/>
    </row>
    <row r="34" spans="2:7">
      <c r="B34" s="150"/>
      <c r="C34" s="150"/>
      <c r="G34" s="150"/>
    </row>
    <row r="35" spans="2:7">
      <c r="B35" s="150"/>
      <c r="C35" s="150"/>
    </row>
    <row r="36" spans="2:7">
      <c r="B36" s="150"/>
      <c r="C36" s="150"/>
    </row>
    <row r="37" spans="2:7">
      <c r="B37" s="150"/>
      <c r="C37" s="150"/>
    </row>
    <row r="38" spans="2:7">
      <c r="B38" s="150"/>
      <c r="C38" s="150"/>
    </row>
    <row r="39" spans="2:7">
      <c r="B39" s="150"/>
      <c r="C39" s="150"/>
    </row>
    <row r="40" spans="2:7">
      <c r="B40" s="150"/>
      <c r="C40" s="150"/>
    </row>
    <row r="41" spans="2:7">
      <c r="B41" s="150"/>
      <c r="C41" s="150"/>
    </row>
    <row r="42" spans="2:7">
      <c r="B42" s="150"/>
      <c r="C42" s="150"/>
    </row>
  </sheetData>
  <phoneticPr fontId="2" type="noConversion"/>
  <pageMargins left="0.78740157499999996" right="0.78740157499999996" top="0.984251969" bottom="0.984251969" header="0.4921259845" footer="0.4921259845"/>
  <headerFooter alignWithMargins="0"/>
  <legacy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R28"/>
  <sheetViews>
    <sheetView topLeftCell="A6" zoomScale="75" workbookViewId="0">
      <selection activeCell="R9" sqref="R9:R10"/>
    </sheetView>
  </sheetViews>
  <sheetFormatPr baseColWidth="10" defaultColWidth="8.83203125" defaultRowHeight="13"/>
  <cols>
    <col min="1" max="1" width="25.83203125" customWidth="1"/>
    <col min="2" max="2" width="25.1640625" customWidth="1"/>
    <col min="3" max="3" width="19.83203125" customWidth="1"/>
    <col min="4" max="4" width="19.1640625" customWidth="1"/>
    <col min="5" max="5" width="16.5" customWidth="1"/>
    <col min="6" max="6" width="15.1640625" bestFit="1" customWidth="1"/>
    <col min="7" max="7" width="16" bestFit="1" customWidth="1"/>
    <col min="8" max="8" width="14.33203125" bestFit="1" customWidth="1"/>
    <col min="9" max="9" width="11.5" customWidth="1"/>
    <col min="10" max="10" width="5.83203125" customWidth="1"/>
  </cols>
  <sheetData>
    <row r="1" spans="1:14" ht="23">
      <c r="A1" s="269" t="s">
        <v>1136</v>
      </c>
      <c r="I1" s="346">
        <f>190*6+85*6+442*3.5</f>
        <v>3197</v>
      </c>
      <c r="J1" s="346" t="s">
        <v>1137</v>
      </c>
    </row>
    <row r="3" spans="1:14" ht="20">
      <c r="A3" s="1126" t="s">
        <v>1138</v>
      </c>
      <c r="B3" s="1126"/>
      <c r="C3" s="1126"/>
      <c r="D3" s="1126"/>
      <c r="E3" s="1126"/>
      <c r="F3" s="1126"/>
      <c r="G3" s="1126"/>
      <c r="H3" s="1126"/>
      <c r="I3">
        <f>190*6</f>
        <v>1140</v>
      </c>
    </row>
    <row r="4" spans="1:14" ht="20">
      <c r="A4" s="1126" t="s">
        <v>1139</v>
      </c>
      <c r="B4" s="1126"/>
      <c r="C4" s="1126"/>
      <c r="D4" s="1126"/>
      <c r="E4" s="1126"/>
      <c r="F4" s="1126"/>
      <c r="G4" s="1126"/>
      <c r="H4" s="1126"/>
      <c r="I4">
        <f>85*6</f>
        <v>510</v>
      </c>
      <c r="J4">
        <f>SUM(I3:I4)</f>
        <v>1650</v>
      </c>
    </row>
    <row r="5" spans="1:14" ht="20">
      <c r="A5" s="1126" t="s">
        <v>1140</v>
      </c>
      <c r="B5" s="1126"/>
      <c r="C5" s="1126"/>
      <c r="D5" s="1126"/>
      <c r="E5" s="1126"/>
      <c r="F5" s="1126"/>
      <c r="G5" s="1126"/>
      <c r="H5" s="1126"/>
      <c r="J5">
        <f>442*3.5</f>
        <v>1547</v>
      </c>
    </row>
    <row r="6" spans="1:14" ht="37.5" customHeight="1" thickBot="1">
      <c r="A6" s="1141" t="s">
        <v>1141</v>
      </c>
      <c r="B6" s="1142"/>
      <c r="C6" s="1142"/>
      <c r="D6" s="1142"/>
      <c r="E6" s="1142"/>
      <c r="F6" s="1142"/>
      <c r="G6" s="1142"/>
      <c r="H6" s="1142"/>
      <c r="I6" s="1142"/>
    </row>
    <row r="7" spans="1:14" ht="20">
      <c r="A7" s="347" t="s">
        <v>1142</v>
      </c>
      <c r="B7" s="348" t="s">
        <v>1143</v>
      </c>
      <c r="C7" s="348" t="s">
        <v>1144</v>
      </c>
      <c r="D7" s="348" t="s">
        <v>1145</v>
      </c>
      <c r="E7" s="349" t="s">
        <v>1146</v>
      </c>
      <c r="H7" s="350"/>
      <c r="I7" s="350"/>
    </row>
    <row r="8" spans="1:14" ht="21">
      <c r="A8" s="351" t="s">
        <v>1147</v>
      </c>
      <c r="B8" s="352">
        <v>508170</v>
      </c>
      <c r="C8" s="352">
        <v>224740</v>
      </c>
      <c r="D8" s="352">
        <v>990980</v>
      </c>
      <c r="E8" s="353">
        <f>SUM(B8:D8)</f>
        <v>1723890</v>
      </c>
      <c r="H8" s="354"/>
      <c r="I8" s="354"/>
    </row>
    <row r="9" spans="1:14" ht="21">
      <c r="A9" s="351" t="s">
        <v>1148</v>
      </c>
      <c r="B9" s="352">
        <v>455605</v>
      </c>
      <c r="C9" s="352">
        <v>201135</v>
      </c>
      <c r="D9" s="352">
        <v>884350</v>
      </c>
      <c r="E9" s="353">
        <f>SUM(B9:D9)</f>
        <v>1541090</v>
      </c>
      <c r="H9" s="354"/>
      <c r="I9" s="354"/>
    </row>
    <row r="10" spans="1:14" s="359" customFormat="1" ht="22" thickBot="1">
      <c r="A10" s="355" t="s">
        <v>1149</v>
      </c>
      <c r="B10" s="356">
        <v>392875</v>
      </c>
      <c r="C10" s="356">
        <v>172935</v>
      </c>
      <c r="D10" s="356">
        <v>756380</v>
      </c>
      <c r="E10" s="357">
        <f>SUM(B10:D10)</f>
        <v>1322190</v>
      </c>
      <c r="F10" s="358"/>
      <c r="G10" s="358"/>
      <c r="H10" s="354"/>
      <c r="I10" s="354"/>
    </row>
    <row r="12" spans="1:14" ht="24" thickBot="1">
      <c r="A12" s="1145" t="s">
        <v>1150</v>
      </c>
      <c r="B12" s="1142"/>
      <c r="C12" s="1142"/>
      <c r="D12" s="1142"/>
      <c r="E12" s="1142"/>
      <c r="F12" s="1142"/>
      <c r="G12" s="1142"/>
      <c r="H12" s="1142"/>
      <c r="I12" s="1142"/>
    </row>
    <row r="13" spans="1:14" s="367" customFormat="1" ht="40.5" customHeight="1">
      <c r="A13" s="360" t="s">
        <v>1149</v>
      </c>
      <c r="B13" s="361" t="s">
        <v>1143</v>
      </c>
      <c r="C13" s="362" t="s">
        <v>1144</v>
      </c>
      <c r="D13" s="362" t="s">
        <v>1151</v>
      </c>
      <c r="E13" s="363" t="s">
        <v>1152</v>
      </c>
      <c r="F13" s="364" t="s">
        <v>1145</v>
      </c>
      <c r="G13" s="365" t="s">
        <v>1151</v>
      </c>
      <c r="H13" s="366" t="s">
        <v>1153</v>
      </c>
      <c r="I13" s="1146" t="s">
        <v>3</v>
      </c>
      <c r="J13" s="1147"/>
    </row>
    <row r="14" spans="1:14" ht="20">
      <c r="A14" s="368" t="s">
        <v>1154</v>
      </c>
      <c r="B14" s="369">
        <v>54000</v>
      </c>
      <c r="C14" s="370">
        <v>15600</v>
      </c>
      <c r="D14" s="370">
        <f>0.21*(B14+C14)</f>
        <v>14616</v>
      </c>
      <c r="E14" s="371">
        <f>SUM(B14:D14)</f>
        <v>84216</v>
      </c>
      <c r="F14" s="369">
        <v>18000</v>
      </c>
      <c r="G14" s="370">
        <f>0.21*F14</f>
        <v>3780</v>
      </c>
      <c r="H14" s="372">
        <f>F14+G14</f>
        <v>21780</v>
      </c>
      <c r="I14" s="1148">
        <f>E14+H14</f>
        <v>105996</v>
      </c>
      <c r="J14" s="1149"/>
      <c r="N14" s="3"/>
    </row>
    <row r="15" spans="1:14" s="266" customFormat="1" ht="20">
      <c r="A15" s="373" t="s">
        <v>1155</v>
      </c>
      <c r="B15" s="374">
        <v>51500</v>
      </c>
      <c r="C15" s="375">
        <v>24000</v>
      </c>
      <c r="D15" s="375">
        <v>0</v>
      </c>
      <c r="E15" s="376">
        <f>SUM(B15:D15)</f>
        <v>75500</v>
      </c>
      <c r="F15" s="369">
        <v>120600</v>
      </c>
      <c r="G15" s="370">
        <f>0.21*F15</f>
        <v>25326</v>
      </c>
      <c r="H15" s="372">
        <f>F15+G15</f>
        <v>145926</v>
      </c>
      <c r="I15" s="1148">
        <f>E15+H15</f>
        <v>221426</v>
      </c>
      <c r="J15" s="1149"/>
    </row>
    <row r="16" spans="1:14" ht="21" thickBot="1">
      <c r="A16" s="377" t="s">
        <v>1156</v>
      </c>
      <c r="B16" s="378">
        <v>287375</v>
      </c>
      <c r="C16" s="379">
        <v>133335</v>
      </c>
      <c r="D16" s="379">
        <f>0.21*(B16+C16)</f>
        <v>88349.099999999991</v>
      </c>
      <c r="E16" s="380">
        <f>SUM(B16:D16)</f>
        <v>509059.1</v>
      </c>
      <c r="F16" s="378">
        <v>617780</v>
      </c>
      <c r="G16" s="379">
        <f>0.21*F16</f>
        <v>129733.79999999999</v>
      </c>
      <c r="H16" s="381">
        <f>F16+G16</f>
        <v>747513.8</v>
      </c>
      <c r="I16" s="1150">
        <f>E16+H16</f>
        <v>1256572.8999999999</v>
      </c>
      <c r="J16" s="1151"/>
    </row>
    <row r="17" spans="1:18" ht="21" thickBot="1">
      <c r="A17" s="382" t="s">
        <v>410</v>
      </c>
      <c r="B17" s="969">
        <f t="shared" ref="B17:I17" si="0">SUM(B14:B16)</f>
        <v>392875</v>
      </c>
      <c r="C17" s="970">
        <f t="shared" si="0"/>
        <v>172935</v>
      </c>
      <c r="D17" s="970">
        <f t="shared" si="0"/>
        <v>102965.09999999999</v>
      </c>
      <c r="E17" s="971">
        <f t="shared" si="0"/>
        <v>668775.1</v>
      </c>
      <c r="F17" s="383">
        <f t="shared" si="0"/>
        <v>756380</v>
      </c>
      <c r="G17" s="384">
        <f t="shared" si="0"/>
        <v>158839.79999999999</v>
      </c>
      <c r="H17" s="385">
        <f t="shared" si="0"/>
        <v>915219.8</v>
      </c>
      <c r="I17" s="1152">
        <f t="shared" si="0"/>
        <v>1583994.9</v>
      </c>
      <c r="J17" s="1153"/>
    </row>
    <row r="18" spans="1:18" ht="22.5" customHeight="1" thickBot="1">
      <c r="A18" s="386"/>
      <c r="B18" s="386"/>
      <c r="C18" s="386"/>
      <c r="D18" s="386"/>
      <c r="E18" s="386"/>
      <c r="F18" s="386"/>
      <c r="G18" s="386"/>
      <c r="I18" s="1143"/>
      <c r="J18" s="1144"/>
    </row>
    <row r="19" spans="1:18" ht="21" thickBot="1">
      <c r="A19" s="560" t="s">
        <v>1157</v>
      </c>
      <c r="B19" s="561">
        <v>159600</v>
      </c>
      <c r="C19" s="561">
        <v>71400</v>
      </c>
      <c r="D19" s="561">
        <f>0.21*(B19+C19)</f>
        <v>48510</v>
      </c>
      <c r="E19" s="562">
        <f>SUM(B19:D19)</f>
        <v>279510</v>
      </c>
      <c r="F19" s="560">
        <v>289800</v>
      </c>
      <c r="G19" s="561">
        <f>0.21*F19</f>
        <v>60858</v>
      </c>
      <c r="H19" s="562">
        <f t="shared" ref="H19:H24" si="1">F19+G19</f>
        <v>350658</v>
      </c>
      <c r="I19" s="1162">
        <f>H19+H20</f>
        <v>528074.25</v>
      </c>
      <c r="J19" s="1157"/>
      <c r="K19" s="1156" t="s">
        <v>1158</v>
      </c>
      <c r="L19" s="1157"/>
    </row>
    <row r="20" spans="1:18" ht="21" thickBot="1">
      <c r="A20" s="560" t="s">
        <v>1159</v>
      </c>
      <c r="B20" s="561">
        <v>108375</v>
      </c>
      <c r="C20" s="561">
        <v>57375</v>
      </c>
      <c r="D20" s="561">
        <f>0.21*(B20+C20)</f>
        <v>34807.5</v>
      </c>
      <c r="E20" s="562">
        <f>SUM(B20:D20)</f>
        <v>200557.5</v>
      </c>
      <c r="F20" s="560">
        <v>146625</v>
      </c>
      <c r="G20" s="561">
        <f>0.21*F20</f>
        <v>30791.25</v>
      </c>
      <c r="H20" s="562">
        <f t="shared" si="1"/>
        <v>177416.25</v>
      </c>
      <c r="I20" s="1163"/>
      <c r="J20" s="1159"/>
      <c r="K20" s="1158"/>
      <c r="L20" s="1159"/>
      <c r="M20" s="972"/>
    </row>
    <row r="21" spans="1:18" ht="21" thickBot="1">
      <c r="A21" s="563" t="s">
        <v>1160</v>
      </c>
      <c r="B21" s="385"/>
      <c r="C21" s="564">
        <v>8000</v>
      </c>
      <c r="D21" s="564">
        <f>0.21*(B21+C21)</f>
        <v>1680</v>
      </c>
      <c r="E21" s="565">
        <f>SUM(B21:D21)</f>
        <v>9680</v>
      </c>
      <c r="F21" s="560"/>
      <c r="G21" s="561">
        <f>0.21*F21</f>
        <v>0</v>
      </c>
      <c r="H21" s="562">
        <f t="shared" si="1"/>
        <v>0</v>
      </c>
      <c r="I21" s="1148"/>
      <c r="J21" s="1149"/>
      <c r="K21" s="566"/>
      <c r="L21" s="3"/>
    </row>
    <row r="22" spans="1:18" s="266" customFormat="1" ht="21" thickBot="1">
      <c r="A22" s="567" t="s">
        <v>1161</v>
      </c>
      <c r="B22" s="568">
        <v>11400</v>
      </c>
      <c r="C22" s="568">
        <v>4560</v>
      </c>
      <c r="D22" s="569">
        <f>0.21*(B22+C22)</f>
        <v>3351.6</v>
      </c>
      <c r="E22" s="570">
        <f>SUM(B22:D22)</f>
        <v>19311.599999999999</v>
      </c>
      <c r="F22" s="571"/>
      <c r="G22" s="561">
        <f>0.21*F22</f>
        <v>0</v>
      </c>
      <c r="H22" s="562">
        <f t="shared" si="1"/>
        <v>0</v>
      </c>
      <c r="I22" s="1148"/>
      <c r="J22" s="1149"/>
      <c r="N22" s="572"/>
      <c r="O22"/>
      <c r="P22"/>
      <c r="Q22"/>
      <c r="R22"/>
    </row>
    <row r="23" spans="1:18" s="265" customFormat="1" ht="21" thickBot="1">
      <c r="A23" s="973" t="s">
        <v>1162</v>
      </c>
      <c r="B23" s="971"/>
      <c r="C23" s="974"/>
      <c r="D23" s="974"/>
      <c r="E23" s="975"/>
      <c r="F23" s="976">
        <f>F16-F19-F20</f>
        <v>181355</v>
      </c>
      <c r="G23" s="977">
        <f>G16-G19-G20</f>
        <v>38084.549999999988</v>
      </c>
      <c r="H23" s="978">
        <f t="shared" si="1"/>
        <v>219439.55</v>
      </c>
      <c r="I23" s="1148"/>
      <c r="J23" s="1149"/>
      <c r="K23" s="1156" t="s">
        <v>1158</v>
      </c>
      <c r="L23" s="1157"/>
      <c r="M23" s="359"/>
      <c r="N23" s="359"/>
      <c r="O23" s="359"/>
      <c r="P23" s="359"/>
      <c r="Q23" s="359"/>
      <c r="R23" s="359"/>
    </row>
    <row r="24" spans="1:18" ht="21" thickBot="1">
      <c r="A24" s="563" t="s">
        <v>1163</v>
      </c>
      <c r="B24" s="385"/>
      <c r="C24" s="564">
        <v>49720</v>
      </c>
      <c r="D24" s="564">
        <f>0.21*(B24+C24)</f>
        <v>10441.199999999999</v>
      </c>
      <c r="E24" s="565">
        <f>SUM(B24:D24)</f>
        <v>60161.2</v>
      </c>
      <c r="F24" s="560">
        <f>3740+3000+15800+22000+12000</f>
        <v>56540</v>
      </c>
      <c r="G24" s="561">
        <f>0.21*F24</f>
        <v>11873.4</v>
      </c>
      <c r="H24" s="562">
        <f t="shared" si="1"/>
        <v>68413.399999999994</v>
      </c>
      <c r="I24" s="1160">
        <f>H24</f>
        <v>68413.399999999994</v>
      </c>
      <c r="J24" s="1161"/>
      <c r="K24" s="1158"/>
      <c r="L24" s="1159"/>
      <c r="M24" s="972"/>
    </row>
    <row r="25" spans="1:18" ht="21" thickBot="1">
      <c r="A25" s="573" t="s">
        <v>410</v>
      </c>
      <c r="B25" s="574">
        <f>SUM(B19:B24)</f>
        <v>279375</v>
      </c>
      <c r="C25" s="574">
        <f>SUM(C19:C24)</f>
        <v>191055</v>
      </c>
      <c r="D25" s="574">
        <f>SUM(D19:D24)</f>
        <v>98790.3</v>
      </c>
      <c r="E25" s="574">
        <f>SUM(E19:E24)</f>
        <v>569220.29999999993</v>
      </c>
      <c r="F25" s="563">
        <f>F19+F20+F24</f>
        <v>492965</v>
      </c>
      <c r="G25" s="563">
        <f>G19+G20+G24</f>
        <v>103522.65</v>
      </c>
      <c r="H25" s="563">
        <f>H19+H20+H24</f>
        <v>596487.65</v>
      </c>
      <c r="I25" s="1154">
        <f>SUM(I19:J24)</f>
        <v>596487.65</v>
      </c>
      <c r="J25" s="1155"/>
    </row>
    <row r="27" spans="1:18">
      <c r="H27" s="3">
        <f>E25+H25</f>
        <v>1165707.95</v>
      </c>
    </row>
    <row r="28" spans="1:18">
      <c r="G28" s="359" t="s">
        <v>1164</v>
      </c>
      <c r="H28" s="358">
        <f>I16-H27</f>
        <v>90864.949999999953</v>
      </c>
      <c r="I28" s="358">
        <f>H23-E24-H24</f>
        <v>90864.949999999983</v>
      </c>
    </row>
  </sheetData>
  <mergeCells count="19">
    <mergeCell ref="I25:J25"/>
    <mergeCell ref="K19:L20"/>
    <mergeCell ref="I21:J21"/>
    <mergeCell ref="I22:J22"/>
    <mergeCell ref="I23:J23"/>
    <mergeCell ref="K23:L24"/>
    <mergeCell ref="I24:J24"/>
    <mergeCell ref="I19:J20"/>
    <mergeCell ref="A3:H3"/>
    <mergeCell ref="A4:H4"/>
    <mergeCell ref="A5:H5"/>
    <mergeCell ref="A6:I6"/>
    <mergeCell ref="I18:J18"/>
    <mergeCell ref="A12:I12"/>
    <mergeCell ref="I13:J13"/>
    <mergeCell ref="I14:J14"/>
    <mergeCell ref="I15:J15"/>
    <mergeCell ref="I16:J16"/>
    <mergeCell ref="I17:J17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O11"/>
  <sheetViews>
    <sheetView workbookViewId="0">
      <selection activeCell="E14" sqref="E13:E14"/>
    </sheetView>
  </sheetViews>
  <sheetFormatPr baseColWidth="10" defaultColWidth="8.83203125" defaultRowHeight="13"/>
  <cols>
    <col min="1" max="1" width="23.5" customWidth="1"/>
    <col min="2" max="2" width="9.33203125" bestFit="1" customWidth="1"/>
    <col min="3" max="6" width="11" bestFit="1" customWidth="1"/>
    <col min="7" max="11" width="9.33203125" bestFit="1" customWidth="1"/>
    <col min="12" max="12" width="11.6640625" customWidth="1"/>
    <col min="13" max="14" width="9.33203125" bestFit="1" customWidth="1"/>
    <col min="15" max="15" width="12.1640625" bestFit="1" customWidth="1"/>
  </cols>
  <sheetData>
    <row r="1" spans="1:15" ht="18">
      <c r="A1" s="167"/>
      <c r="C1" s="105"/>
      <c r="D1" s="105"/>
      <c r="E1" s="105" t="s">
        <v>1165</v>
      </c>
      <c r="F1" s="105"/>
      <c r="G1" s="105"/>
      <c r="H1" s="105"/>
      <c r="I1" s="105"/>
      <c r="J1" s="105"/>
      <c r="K1" s="105"/>
      <c r="L1" s="105"/>
      <c r="M1" s="105"/>
      <c r="N1" s="105"/>
      <c r="O1" s="105"/>
    </row>
    <row r="2" spans="1:15">
      <c r="E2" t="s">
        <v>1166</v>
      </c>
      <c r="G2" t="s">
        <v>1167</v>
      </c>
    </row>
    <row r="3" spans="1:15" ht="14" thickBot="1"/>
    <row r="4" spans="1:15" ht="19" thickBot="1">
      <c r="E4" s="1164" t="s">
        <v>1168</v>
      </c>
      <c r="F4" s="1165"/>
      <c r="G4" s="1164" t="s">
        <v>1169</v>
      </c>
      <c r="H4" s="1166"/>
      <c r="I4" s="1165"/>
      <c r="J4" s="1164" t="s">
        <v>1170</v>
      </c>
      <c r="K4" s="1166"/>
      <c r="L4" s="1165"/>
      <c r="M4" s="1164" t="s">
        <v>1171</v>
      </c>
      <c r="N4" s="1166"/>
      <c r="O4" s="1165"/>
    </row>
    <row r="5" spans="1:15" ht="56">
      <c r="A5" s="168" t="s">
        <v>1172</v>
      </c>
      <c r="B5" s="169" t="s">
        <v>872</v>
      </c>
      <c r="C5" s="170" t="s">
        <v>1173</v>
      </c>
      <c r="D5" s="171" t="s">
        <v>1174</v>
      </c>
      <c r="E5" s="168" t="s">
        <v>1175</v>
      </c>
      <c r="F5" s="169" t="s">
        <v>1176</v>
      </c>
      <c r="G5" s="168" t="s">
        <v>1177</v>
      </c>
      <c r="H5" s="172" t="s">
        <v>1178</v>
      </c>
      <c r="I5" s="169" t="s">
        <v>1176</v>
      </c>
      <c r="J5" s="168" t="s">
        <v>1177</v>
      </c>
      <c r="K5" s="172" t="s">
        <v>1178</v>
      </c>
      <c r="L5" s="169" t="s">
        <v>1176</v>
      </c>
      <c r="M5" s="168" t="s">
        <v>1177</v>
      </c>
      <c r="N5" s="172" t="s">
        <v>1178</v>
      </c>
      <c r="O5" s="169" t="s">
        <v>1176</v>
      </c>
    </row>
    <row r="6" spans="1:15" ht="28">
      <c r="A6" s="173" t="s">
        <v>1179</v>
      </c>
      <c r="B6" s="174" t="s">
        <v>749</v>
      </c>
      <c r="C6" s="175">
        <v>38995.599999999999</v>
      </c>
      <c r="D6" s="176">
        <v>38440</v>
      </c>
      <c r="E6" s="177">
        <v>12386</v>
      </c>
      <c r="F6" s="178">
        <v>26054</v>
      </c>
      <c r="G6" s="177"/>
      <c r="H6" s="179"/>
      <c r="I6" s="178"/>
      <c r="J6" s="177"/>
      <c r="K6" s="179"/>
      <c r="L6" s="178"/>
      <c r="M6" s="177"/>
      <c r="N6" s="179"/>
      <c r="O6" s="178"/>
    </row>
    <row r="7" spans="1:15" ht="42">
      <c r="A7" s="173" t="s">
        <v>1180</v>
      </c>
      <c r="B7" s="174" t="s">
        <v>750</v>
      </c>
      <c r="C7" s="175">
        <v>14900</v>
      </c>
      <c r="D7" s="176">
        <v>19710</v>
      </c>
      <c r="E7" s="177">
        <v>7134</v>
      </c>
      <c r="F7" s="178">
        <v>12571.2</v>
      </c>
      <c r="G7" s="177"/>
      <c r="H7" s="179"/>
      <c r="I7" s="178"/>
      <c r="J7" s="177"/>
      <c r="K7" s="179"/>
      <c r="L7" s="178"/>
      <c r="M7" s="177"/>
      <c r="N7" s="179"/>
      <c r="O7" s="178"/>
    </row>
    <row r="8" spans="1:15" ht="28">
      <c r="A8" s="173" t="s">
        <v>1181</v>
      </c>
      <c r="B8" s="174" t="s">
        <v>751</v>
      </c>
      <c r="C8" s="175">
        <v>2220</v>
      </c>
      <c r="D8" s="176">
        <v>2760</v>
      </c>
      <c r="E8" s="177">
        <v>342</v>
      </c>
      <c r="F8" s="178">
        <v>171</v>
      </c>
      <c r="G8" s="177">
        <v>1064</v>
      </c>
      <c r="H8" s="179"/>
      <c r="I8" s="178">
        <v>171</v>
      </c>
      <c r="J8" s="177"/>
      <c r="K8" s="179"/>
      <c r="L8" s="178"/>
      <c r="M8" s="177"/>
      <c r="N8" s="179">
        <v>836</v>
      </c>
      <c r="O8" s="178">
        <v>171</v>
      </c>
    </row>
    <row r="9" spans="1:15" ht="28">
      <c r="A9" s="173" t="s">
        <v>1181</v>
      </c>
      <c r="B9" s="174" t="s">
        <v>752</v>
      </c>
      <c r="C9" s="175">
        <v>2220</v>
      </c>
      <c r="D9" s="176">
        <v>3770</v>
      </c>
      <c r="E9" s="177">
        <v>342</v>
      </c>
      <c r="F9" s="178">
        <v>171</v>
      </c>
      <c r="G9" s="177"/>
      <c r="H9" s="179">
        <v>836</v>
      </c>
      <c r="I9" s="178">
        <v>171</v>
      </c>
      <c r="J9" s="177">
        <v>1064</v>
      </c>
      <c r="K9" s="179"/>
      <c r="L9" s="178">
        <v>171</v>
      </c>
      <c r="M9" s="177"/>
      <c r="N9" s="179">
        <v>836</v>
      </c>
      <c r="O9" s="178">
        <v>171</v>
      </c>
    </row>
    <row r="10" spans="1:15" ht="42">
      <c r="A10" s="173" t="s">
        <v>1181</v>
      </c>
      <c r="B10" s="174" t="s">
        <v>753</v>
      </c>
      <c r="C10" s="175">
        <v>2220</v>
      </c>
      <c r="D10" s="176">
        <v>3770</v>
      </c>
      <c r="E10" s="177">
        <v>342</v>
      </c>
      <c r="F10" s="178">
        <v>171</v>
      </c>
      <c r="G10" s="177"/>
      <c r="H10" s="180">
        <v>836</v>
      </c>
      <c r="I10" s="181">
        <v>171</v>
      </c>
      <c r="J10" s="177"/>
      <c r="K10" s="179">
        <v>836</v>
      </c>
      <c r="L10" s="178">
        <v>171</v>
      </c>
      <c r="M10" s="177">
        <v>1064</v>
      </c>
      <c r="N10" s="179"/>
      <c r="O10" s="178">
        <v>171</v>
      </c>
    </row>
    <row r="11" spans="1:15" ht="29" thickBot="1">
      <c r="A11" s="182" t="s">
        <v>1182</v>
      </c>
      <c r="B11" s="183" t="s">
        <v>754</v>
      </c>
      <c r="C11" s="184">
        <v>2220</v>
      </c>
      <c r="D11" s="185">
        <v>2530</v>
      </c>
      <c r="E11" s="186">
        <v>342</v>
      </c>
      <c r="F11" s="187">
        <v>171</v>
      </c>
      <c r="G11" s="186"/>
      <c r="H11" s="188"/>
      <c r="I11" s="187"/>
      <c r="J11" s="186"/>
      <c r="K11" s="188">
        <v>836</v>
      </c>
      <c r="L11" s="187">
        <v>171</v>
      </c>
      <c r="M11" s="186"/>
      <c r="N11" s="188">
        <v>836</v>
      </c>
      <c r="O11" s="187">
        <v>171</v>
      </c>
    </row>
  </sheetData>
  <mergeCells count="4">
    <mergeCell ref="E4:F4"/>
    <mergeCell ref="G4:I4"/>
    <mergeCell ref="J4:L4"/>
    <mergeCell ref="M4:O4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94ae32d-c07e-4508-b2ae-2af9965408ac" xsi:nil="true"/>
    <lcf76f155ced4ddcb4097134ff3c332f xmlns="113fe49e-5ae1-4c37-8fe4-9800e679cb19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BB864E7F476B44AB795CBCDBE9DE52B" ma:contentTypeVersion="13" ma:contentTypeDescription="Vytvoří nový dokument" ma:contentTypeScope="" ma:versionID="b301f7f79da93473ef31020e687b1835">
  <xsd:schema xmlns:xsd="http://www.w3.org/2001/XMLSchema" xmlns:xs="http://www.w3.org/2001/XMLSchema" xmlns:p="http://schemas.microsoft.com/office/2006/metadata/properties" xmlns:ns2="113fe49e-5ae1-4c37-8fe4-9800e679cb19" xmlns:ns3="694ae32d-c07e-4508-b2ae-2af9965408ac" targetNamespace="http://schemas.microsoft.com/office/2006/metadata/properties" ma:root="true" ma:fieldsID="d4a624e3eb1273f194bb163c36b4c0c5" ns2:_="" ns3:_="">
    <xsd:import namespace="113fe49e-5ae1-4c37-8fe4-9800e679cb19"/>
    <xsd:import namespace="694ae32d-c07e-4508-b2ae-2af9965408a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3fe49e-5ae1-4c37-8fe4-9800e679cb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Značky obrázků" ma:readOnly="false" ma:fieldId="{5cf76f15-5ced-4ddc-b409-7134ff3c332f}" ma:taxonomyMulti="true" ma:sspId="d6b5dfd7-5876-40c7-971b-2b4c583ac8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4ae32d-c07e-4508-b2ae-2af9965408a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459542a0-fe84-4417-81fb-9043f5ff2566}" ma:internalName="TaxCatchAll" ma:showField="CatchAllData" ma:web="694ae32d-c07e-4508-b2ae-2af9965408a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AFC559-3A64-4A0C-8430-99BC1266369A}">
  <ds:schemaRefs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113fe49e-5ae1-4c37-8fe4-9800e679cb19"/>
    <ds:schemaRef ds:uri="http://purl.org/dc/elements/1.1/"/>
    <ds:schemaRef ds:uri="http://purl.org/dc/dcmitype/"/>
    <ds:schemaRef ds:uri="694ae32d-c07e-4508-b2ae-2af9965408a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3222C71-E429-41CD-9C31-C0859A834E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D191DDF-E0F7-43F6-86DB-A6DDB197C0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3fe49e-5ae1-4c37-8fe4-9800e679cb19"/>
    <ds:schemaRef ds:uri="694ae32d-c07e-4508-b2ae-2af9965408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Výkaz ZZ</vt:lpstr>
      <vt:lpstr>Rozvaha</vt:lpstr>
      <vt:lpstr>Investice</vt:lpstr>
      <vt:lpstr>Povodně</vt:lpstr>
      <vt:lpstr>popisky návrh 2024</vt:lpstr>
      <vt:lpstr>Návrh 2024 položkový</vt:lpstr>
      <vt:lpstr>Návrh 2024 ke zveřejnění</vt:lpstr>
      <vt:lpstr>Rozpočet 2024</vt:lpstr>
      <vt:lpstr>RO č.1</vt:lpstr>
      <vt:lpstr>ROč.2</vt:lpstr>
      <vt:lpstr>RO č.3</vt:lpstr>
      <vt:lpstr>Mzdy 2014</vt:lpstr>
      <vt:lpstr>Stočné</vt:lpstr>
      <vt:lpstr>A.S.A</vt:lpstr>
      <vt:lpstr>Dluh+úvěr KB</vt:lpstr>
      <vt:lpstr>Komunikace</vt:lpstr>
      <vt:lpstr>VO KV II</vt:lpstr>
      <vt:lpstr>ASA</vt:lpstr>
      <vt:lpstr>Hráz</vt:lpstr>
      <vt:lpstr>Šťovíková</vt:lpstr>
      <vt:lpstr>ZOK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-</dc:creator>
  <cp:keywords/>
  <dc:description/>
  <cp:lastModifiedBy>Dana Thorovská - místostarostka</cp:lastModifiedBy>
  <cp:revision/>
  <cp:lastPrinted>2023-12-19T10:03:57Z</cp:lastPrinted>
  <dcterms:created xsi:type="dcterms:W3CDTF">2010-02-09T09:50:23Z</dcterms:created>
  <dcterms:modified xsi:type="dcterms:W3CDTF">2024-10-01T08:59:56Z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0x010100FBB864E7F476B44AB795CBCDBE9DE52B</vt:lpwstr>
  </property>
</Properties>
</file>